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tabRatio="943" activeTab="1"/>
  </bookViews>
  <sheets>
    <sheet name="тит" sheetId="46" r:id="rId1"/>
    <sheet name="Раздел 1" sheetId="47" r:id="rId2"/>
    <sheet name="Раздел 2" sheetId="48" r:id="rId3"/>
    <sheet name="Раздел 3 (новый) " sheetId="49" r:id="rId4"/>
    <sheet name="Расчеты ГЗ" sheetId="50" r:id="rId5"/>
    <sheet name="ФОТ" sheetId="52" r:id="rId6"/>
    <sheet name="заочная учёба 214-501" sheetId="27" r:id="rId7"/>
    <sheet name="Связь 221" sheetId="25" r:id="rId8"/>
    <sheet name="транспорт услуги 222-500" sheetId="14" r:id="rId9"/>
    <sheet name="Пож сигнализ 225-055 " sheetId="55" r:id="rId10"/>
    <sheet name=" услуги по содерж имущ 225-770" sheetId="20" r:id="rId11"/>
    <sheet name="Техобслуживание 225-770 226-046" sheetId="21" r:id="rId12"/>
    <sheet name="прочие услуги 226-046" sheetId="13" r:id="rId13"/>
    <sheet name="медосмотры 226-046" sheetId="16" r:id="rId14"/>
    <sheet name="Повыш квалиф " sheetId="18" r:id="rId15"/>
    <sheet name="Командировочные расходы " sheetId="19" r:id="rId16"/>
    <sheet name="учебники  310-045" sheetId="11" r:id="rId17"/>
    <sheet name="Основ средства 310-914" sheetId="3" r:id="rId18"/>
    <sheet name="медикаменты 341-510" sheetId="2" r:id="rId19"/>
    <sheet name="ГСМ 343-540" sheetId="59" r:id="rId20"/>
    <sheet name="344" sheetId="56" r:id="rId21"/>
    <sheet name="мягкий инв 345-520" sheetId="7" r:id="rId22"/>
    <sheet name="прочие мат запасы 346-550" sheetId="8" r:id="rId23"/>
    <sheet name="сувениры 349-845" sheetId="9" r:id="rId24"/>
    <sheet name="прочие 349-550" sheetId="10" r:id="rId25"/>
    <sheet name="земельный налог" sheetId="30" r:id="rId26"/>
    <sheet name="налог на имущество" sheetId="31" r:id="rId27"/>
    <sheet name="Расчеты (Иные)" sheetId="51" r:id="rId28"/>
    <sheet name="Продукты школьникам" sheetId="34" r:id="rId29"/>
    <sheet name="льготный проезд 212-831" sheetId="12" r:id="rId30"/>
    <sheet name="комунальные услуги" sheetId="22" r:id="rId31"/>
    <sheet name="Выплаты специалистам на селе" sheetId="23" r:id="rId32"/>
    <sheet name="Расчет" sheetId="53" r:id="rId33"/>
    <sheet name="норматив" sheetId="54" r:id="rId34"/>
    <sheet name="классное руководство" sheetId="42" r:id="rId35"/>
  </sheets>
  <externalReferences>
    <externalReference r:id="rId36"/>
  </externalReferences>
  <definedNames>
    <definedName name="_Par114" localSheetId="2">'Раздел 2'!$C$20</definedName>
    <definedName name="_Par122" localSheetId="2">'Раздел 2'!$C$21</definedName>
    <definedName name="_Par172" localSheetId="2">'Раздел 2'!$C$29</definedName>
    <definedName name="_Par22" localSheetId="2">'Раздел 2'!$C$5</definedName>
    <definedName name="_Par31" localSheetId="2">'Раздел 2'!$C$6</definedName>
    <definedName name="_Par39" localSheetId="2">'Раздел 2'!$C$8</definedName>
    <definedName name="_Par47" localSheetId="2">'Раздел 2'!$C$9</definedName>
    <definedName name="_Par55" localSheetId="2">'Раздел 2'!$C$10</definedName>
    <definedName name="_Par64" localSheetId="2">'Раздел 2'!$C$11</definedName>
    <definedName name="_Par89" localSheetId="2">'Раздел 2'!$C$16</definedName>
    <definedName name="BossProviderVariable?_2a30b9c3_de64_423d_9538_fd22381c37e7" hidden="1">"25_01_2006"</definedName>
    <definedName name="Z_055B7927_C092_4F22_90D9_191F5DA65B03_.wvu.Rows" localSheetId="25" hidden="1">'земельный налог'!#REF!,'земельный налог'!#REF!</definedName>
    <definedName name="Z_055B7927_C092_4F22_90D9_191F5DA65B03_.wvu.Rows" localSheetId="26" hidden="1">'налог на имущество'!#REF!,'налог на имущество'!#REF!,'налог на имущество'!#REF!,'налог на имущество'!#REF!</definedName>
    <definedName name="Z_0991CBE4_B7B9_4BD1_AD04_6701756CCA54_.wvu.Rows" localSheetId="25" hidden="1">'земельный налог'!#REF!</definedName>
    <definedName name="Z_0991CBE4_B7B9_4BD1_AD04_6701756CCA54_.wvu.Rows" localSheetId="26" hidden="1">'налог на имущество'!#REF!,'налог на имущество'!#REF!,'налог на имущество'!#REF!,'налог на имущество'!#REF!</definedName>
    <definedName name="Z_0A4F27FF_2EA4_45D9_8B27_4673391F09E7_.wvu.Rows" localSheetId="25" hidden="1">'земельный налог'!#REF!</definedName>
    <definedName name="Z_0A4F27FF_2EA4_45D9_8B27_4673391F09E7_.wvu.Rows" localSheetId="26" hidden="1">'налог на имущество'!#REF!,'налог на имущество'!#REF!,'налог на имущество'!#REF!,'налог на имущество'!#REF!</definedName>
    <definedName name="Z_0AE20E01_7210_4027_81BF_E4F8C32AED2D_.wvu.Rows" localSheetId="25" hidden="1">'земельный налог'!#REF!</definedName>
    <definedName name="Z_0AE20E01_7210_4027_81BF_E4F8C32AED2D_.wvu.Rows" localSheetId="26" hidden="1">'налог на имущество'!#REF!,'налог на имущество'!#REF!,'налог на имущество'!#REF!,'налог на имущество'!#REF!</definedName>
    <definedName name="Z_23EA4440_73D8_45FD_8F3B_CB8DB3D41662_.wvu.Rows" localSheetId="25" hidden="1">'земельный налог'!#REF!</definedName>
    <definedName name="Z_23EA4440_73D8_45FD_8F3B_CB8DB3D41662_.wvu.Rows" localSheetId="26" hidden="1">'налог на имущество'!#REF!,'налог на имущество'!#REF!,'налог на имущество'!#REF!,'налог на имущество'!#REF!</definedName>
    <definedName name="Z_35F7A1F7_5D07_48DE_A7E3_8178A109EB38_.wvu.PrintTitles" localSheetId="13" hidden="1">'медосмотры 226-046'!$A:$A</definedName>
    <definedName name="Z_35F7A1F7_5D07_48DE_A7E3_8178A109EB38_.wvu.Rows" localSheetId="25" hidden="1">'земельный налог'!#REF!</definedName>
    <definedName name="Z_35F7A1F7_5D07_48DE_A7E3_8178A109EB38_.wvu.Rows" localSheetId="26" hidden="1">'налог на имущество'!#REF!,'налог на имущество'!#REF!,'налог на имущество'!#REF!,'налог на имущество'!#REF!</definedName>
    <definedName name="Z_3B9E6805_F811_41BD_992C_00AE99982B55_.wvu.Rows" localSheetId="25" hidden="1">'земельный налог'!#REF!</definedName>
    <definedName name="Z_3B9E6805_F811_41BD_992C_00AE99982B55_.wvu.Rows" localSheetId="26" hidden="1">'налог на имущество'!#REF!,'налог на имущество'!#REF!,'налог на имущество'!#REF!,'налог на имущество'!#REF!</definedName>
    <definedName name="Z_3CE83E16_A430_4AB4_8CB3_5A802936D744_.wvu.Cols" localSheetId="29" hidden="1">'льготный проезд 212-831'!#REF!,'льготный проезд 212-831'!$M:$M,'льготный проезд 212-831'!$V:$V,'льготный проезд 212-831'!$X:$X</definedName>
    <definedName name="Z_3CE83E16_A430_4AB4_8CB3_5A802936D744_.wvu.Rows" localSheetId="29" hidden="1">'льготный проезд 212-831'!#REF!</definedName>
    <definedName name="Z_3D3A38D8_35A4_4682_8BE9_22E2BEF74CB4_.wvu.Rows" localSheetId="25" hidden="1">'земельный налог'!#REF!</definedName>
    <definedName name="Z_3D3A38D8_35A4_4682_8BE9_22E2BEF74CB4_.wvu.Rows" localSheetId="26" hidden="1">'налог на имущество'!#REF!,'налог на имущество'!#REF!,'налог на имущество'!#REF!,'налог на имущество'!#REF!</definedName>
    <definedName name="Z_448607C6_F702_4D23_A7A6_7E96EEB2D916_.wvu.Rows" localSheetId="25" hidden="1">'земельный налог'!#REF!</definedName>
    <definedName name="Z_448607C6_F702_4D23_A7A6_7E96EEB2D916_.wvu.Rows" localSheetId="26" hidden="1">'налог на имущество'!#REF!,'налог на имущество'!#REF!,'налог на имущество'!#REF!,'налог на имущество'!#REF!</definedName>
    <definedName name="Z_4D52E7BC_90F6_4E58_ADE6_82198596B74D_.wvu.Rows" localSheetId="25" hidden="1">'земельный налог'!#REF!</definedName>
    <definedName name="Z_4D52E7BC_90F6_4E58_ADE6_82198596B74D_.wvu.Rows" localSheetId="26" hidden="1">'налог на имущество'!#REF!,'налог на имущество'!#REF!,'налог на имущество'!#REF!,'налог на имущество'!#REF!</definedName>
    <definedName name="Z_50C21439_73F2_4A8E_8E65_3D3119AED2F8_.wvu.Rows" localSheetId="25" hidden="1">'земельный налог'!#REF!</definedName>
    <definedName name="Z_50C21439_73F2_4A8E_8E65_3D3119AED2F8_.wvu.Rows" localSheetId="26" hidden="1">'налог на имущество'!#REF!,'налог на имущество'!#REF!,'налог на имущество'!#REF!,'налог на имущество'!#REF!</definedName>
    <definedName name="Z_518DC668_9969_4E9C_A59A_5F29AB74F5D9_.wvu.Rows" localSheetId="25" hidden="1">'земельный налог'!#REF!</definedName>
    <definedName name="Z_518DC668_9969_4E9C_A59A_5F29AB74F5D9_.wvu.Rows" localSheetId="26" hidden="1">'налог на имущество'!#REF!,'налог на имущество'!#REF!,'налог на имущество'!#REF!,'налог на имущество'!#REF!</definedName>
    <definedName name="Z_6DF52098_4BCF_4AC8_9364_58BB2B647C05_.wvu.Rows" localSheetId="25" hidden="1">'земельный налог'!#REF!</definedName>
    <definedName name="Z_6DF52098_4BCF_4AC8_9364_58BB2B647C05_.wvu.Rows" localSheetId="26" hidden="1">'налог на имущество'!#REF!,'налог на имущество'!#REF!,'налог на имущество'!#REF!,'налог на имущество'!#REF!</definedName>
    <definedName name="Z_7BB9CEDA_AEE8_47BF_A67F_2181ADAEA85C_.wvu.Rows" localSheetId="25" hidden="1">'земельный налог'!#REF!</definedName>
    <definedName name="Z_7BB9CEDA_AEE8_47BF_A67F_2181ADAEA85C_.wvu.Rows" localSheetId="26" hidden="1">'налог на имущество'!#REF!,'налог на имущество'!#REF!,'налог на имущество'!#REF!,'налог на имущество'!#REF!</definedName>
    <definedName name="Z_A229211B_B330_4289_81F2_DF337C72867A_.wvu.Rows" localSheetId="25" hidden="1">'земельный налог'!#REF!</definedName>
    <definedName name="Z_A229211B_B330_4289_81F2_DF337C72867A_.wvu.Rows" localSheetId="26" hidden="1">'налог на имущество'!#REF!,'налог на имущество'!#REF!,'налог на имущество'!#REF!,'налог на имущество'!#REF!</definedName>
    <definedName name="Z_A673C281_585B_4F1A_9F6D_024C65E6F5CD_.wvu.Rows" localSheetId="25" hidden="1">'земельный налог'!#REF!</definedName>
    <definedName name="Z_A673C281_585B_4F1A_9F6D_024C65E6F5CD_.wvu.Rows" localSheetId="26" hidden="1">'налог на имущество'!#REF!,'налог на имущество'!#REF!,'налог на имущество'!#REF!,'налог на имущество'!#REF!</definedName>
    <definedName name="Z_B6D43591_9B69_4A72_B61B_D57DD90CA0C3_.wvu.Rows" localSheetId="25" hidden="1">'земельный налог'!#REF!</definedName>
    <definedName name="Z_B6D43591_9B69_4A72_B61B_D57DD90CA0C3_.wvu.Rows" localSheetId="26" hidden="1">'налог на имущество'!#REF!,'налог на имущество'!#REF!,'налог на имущество'!#REF!,'налог на имущество'!#REF!</definedName>
    <definedName name="Z_CBD6936A_BF67_4E55_BDC7_1A1C3AFEFF90_.wvu.Rows" localSheetId="25" hidden="1">'земельный налог'!#REF!</definedName>
    <definedName name="Z_CBD6936A_BF67_4E55_BDC7_1A1C3AFEFF90_.wvu.Rows" localSheetId="26" hidden="1">'налог на имущество'!#REF!,'налог на имущество'!#REF!,'налог на имущество'!#REF!,'налог на имущество'!#REF!</definedName>
    <definedName name="Z_E9667B58_8B06_492E_B0B4_4CB6843CC5C7_.wvu.Rows" localSheetId="25" hidden="1">'земельный налог'!#REF!</definedName>
    <definedName name="Z_E9667B58_8B06_492E_B0B4_4CB6843CC5C7_.wvu.Rows" localSheetId="26" hidden="1">'налог на имущество'!#REF!,'налог на имущество'!#REF!,'налог на имущество'!#REF!,'налог на имущество'!#REF!</definedName>
    <definedName name="Z_EAD15E88_8079_418E_ADEF_F6499F3A205C_.wvu.Rows" localSheetId="25" hidden="1">'земельный налог'!#REF!</definedName>
    <definedName name="Z_EAD15E88_8079_418E_ADEF_F6499F3A205C_.wvu.Rows" localSheetId="26" hidden="1">'налог на имущество'!#REF!,'налог на имущество'!#REF!,'налог на имущество'!#REF!,'налог на имущество'!#REF!</definedName>
    <definedName name="Z_F2D3616C_6800_4178_8F3B_44DCE676D142_.wvu.Rows" localSheetId="25" hidden="1">'земельный налог'!#REF!</definedName>
    <definedName name="Z_F2D3616C_6800_4178_8F3B_44DCE676D142_.wvu.Rows" localSheetId="26" hidden="1">'налог на имущество'!#REF!,'налог на имущество'!#REF!,'налог на имущество'!#REF!,'налог на имущество'!#REF!</definedName>
    <definedName name="Z_FB6949ED_E585_48E2_B288_10A326EE3ABD_.wvu.Rows" localSheetId="25" hidden="1">'земельный налог'!#REF!,'земельный налог'!#REF!</definedName>
    <definedName name="Z_FB6949ED_E585_48E2_B288_10A326EE3ABD_.wvu.Rows" localSheetId="26" hidden="1">'налог на имущество'!#REF!,'налог на имущество'!#REF!,'налог на имущество'!#REF!,'налог на имущество'!#REF!</definedName>
    <definedName name="_xlnm.Print_Titles" localSheetId="34">'классное руководство'!$3:$5</definedName>
    <definedName name="_xlnm.Print_Titles" localSheetId="32">Расчет!$A:$B</definedName>
    <definedName name="_xlnm.Print_Area" localSheetId="20">'344'!$A$1:$F$13</definedName>
    <definedName name="_xlnm.Print_Area" localSheetId="31">'Выплаты специалистам на селе'!$A$1:$I$7</definedName>
    <definedName name="_xlnm.Print_Area" localSheetId="6">'заочная учёба 214-501'!$A$1:$D$9</definedName>
    <definedName name="_xlnm.Print_Area" localSheetId="25">'земельный налог'!$A$1:$F$10</definedName>
    <definedName name="_xlnm.Print_Area" localSheetId="34">'классное руководство'!$A$1:$N$22</definedName>
    <definedName name="_xlnm.Print_Area" localSheetId="15">'Командировочные расходы '!$A$1:$L$5</definedName>
    <definedName name="_xlnm.Print_Area" localSheetId="30">'комунальные услуги'!$A$1:$M$21</definedName>
    <definedName name="_xlnm.Print_Area" localSheetId="33">норматив!$A$1:$M$6</definedName>
    <definedName name="_xlnm.Print_Area" localSheetId="14">'Повыш квалиф '!$A$1:$L$7</definedName>
    <definedName name="_xlnm.Print_Area" localSheetId="9">'Пож сигнализ 225-055 '!$A$1:$J$7</definedName>
    <definedName name="_xlnm.Print_Area" localSheetId="28">'Продукты школьникам'!$A$1:$F$10</definedName>
    <definedName name="_xlnm.Print_Area" localSheetId="1">'Раздел 1'!$A$1:$H$101</definedName>
    <definedName name="_xlnm.Print_Area" localSheetId="3">'Раздел 3 (новый) '!$A$1:$P$168</definedName>
    <definedName name="_xlnm.Print_Area" localSheetId="32">Расчет!$A$1:$AJ$10</definedName>
    <definedName name="_xlnm.Print_Area" localSheetId="27">'Расчеты (Иные)'!$A$1:$DA$169</definedName>
    <definedName name="_xlnm.Print_Area" localSheetId="4">'Расчеты ГЗ'!$A$1:$DA$112</definedName>
    <definedName name="_xlnm.Print_Area" localSheetId="7">'Связь 221'!$A$1:$P$8</definedName>
    <definedName name="_xlnm.Print_Area" localSheetId="11">'Техобслуживание 225-770 226-046'!$A$1:$G$16</definedName>
    <definedName name="_xlnm.Print_Area" localSheetId="5">ФОТ!$A$1:$AC$54</definedName>
  </definedNames>
  <calcPr calcId="145621"/>
</workbook>
</file>

<file path=xl/calcChain.xml><?xml version="1.0" encoding="utf-8"?>
<calcChain xmlns="http://schemas.openxmlformats.org/spreadsheetml/2006/main">
  <c r="BW24" i="50" l="1"/>
  <c r="E15" i="21"/>
  <c r="E7" i="21"/>
  <c r="E8" i="21"/>
  <c r="E9" i="21"/>
  <c r="E10" i="21"/>
  <c r="E6" i="21"/>
  <c r="CJ92" i="50" l="1"/>
  <c r="CJ106" i="50"/>
  <c r="CJ94" i="50"/>
  <c r="CJ93" i="50"/>
  <c r="CJ81" i="50"/>
  <c r="CL58" i="50"/>
  <c r="C20" i="42"/>
  <c r="M7" i="42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K7" i="42"/>
  <c r="K8" i="42" s="1"/>
  <c r="K9" i="42" s="1"/>
  <c r="K10" i="42" s="1"/>
  <c r="K11" i="42" s="1"/>
  <c r="K12" i="42" s="1"/>
  <c r="K13" i="42" s="1"/>
  <c r="K14" i="42" s="1"/>
  <c r="K15" i="42" s="1"/>
  <c r="K16" i="42" s="1"/>
  <c r="K17" i="42" s="1"/>
  <c r="K18" i="42" s="1"/>
  <c r="K19" i="42" s="1"/>
  <c r="I7" i="42"/>
  <c r="I8" i="42" s="1"/>
  <c r="I10" i="42" s="1"/>
  <c r="I11" i="42" s="1"/>
  <c r="I12" i="42" s="1"/>
  <c r="I13" i="42" s="1"/>
  <c r="I14" i="42" s="1"/>
  <c r="I15" i="42" s="1"/>
  <c r="I16" i="42" s="1"/>
  <c r="I17" i="42" s="1"/>
  <c r="I18" i="42" s="1"/>
  <c r="I19" i="42" s="1"/>
  <c r="H7" i="42"/>
  <c r="H8" i="42" s="1"/>
  <c r="H9" i="42" s="1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G7" i="42"/>
  <c r="J7" i="42" s="1"/>
  <c r="L7" i="42" s="1"/>
  <c r="N7" i="42" s="1"/>
  <c r="F7" i="42"/>
  <c r="F8" i="42" s="1"/>
  <c r="J6" i="42"/>
  <c r="G6" i="42"/>
  <c r="F7" i="23"/>
  <c r="H7" i="23" s="1"/>
  <c r="D7" i="23"/>
  <c r="I7" i="23" s="1"/>
  <c r="F6" i="23"/>
  <c r="H6" i="23" s="1"/>
  <c r="D6" i="23"/>
  <c r="I6" i="23" s="1"/>
  <c r="F5" i="23"/>
  <c r="H5" i="23" s="1"/>
  <c r="D5" i="23"/>
  <c r="I21" i="22"/>
  <c r="D21" i="22"/>
  <c r="E21" i="22" s="1"/>
  <c r="I20" i="22"/>
  <c r="E20" i="22"/>
  <c r="D20" i="22"/>
  <c r="I19" i="22"/>
  <c r="D19" i="22"/>
  <c r="E19" i="22" s="1"/>
  <c r="D18" i="22"/>
  <c r="E18" i="22" s="1"/>
  <c r="L18" i="22" s="1"/>
  <c r="U10" i="22"/>
  <c r="M10" i="22"/>
  <c r="L21" i="22" s="1"/>
  <c r="I10" i="22"/>
  <c r="K21" i="22" s="1"/>
  <c r="E10" i="22"/>
  <c r="J21" i="22" s="1"/>
  <c r="M21" i="22" s="1"/>
  <c r="U9" i="22"/>
  <c r="M9" i="22"/>
  <c r="L20" i="22" s="1"/>
  <c r="I9" i="22"/>
  <c r="K20" i="22" s="1"/>
  <c r="E9" i="22"/>
  <c r="J20" i="22" s="1"/>
  <c r="M20" i="22" s="1"/>
  <c r="U8" i="22"/>
  <c r="M8" i="22"/>
  <c r="L19" i="22" s="1"/>
  <c r="I8" i="22"/>
  <c r="K19" i="22" s="1"/>
  <c r="E8" i="22"/>
  <c r="J19" i="22" s="1"/>
  <c r="M19" i="22" s="1"/>
  <c r="I7" i="22"/>
  <c r="K18" i="22" s="1"/>
  <c r="E7" i="22"/>
  <c r="J18" i="22" s="1"/>
  <c r="M18" i="22" s="1"/>
  <c r="S39" i="12"/>
  <c r="R39" i="12"/>
  <c r="Q39" i="12"/>
  <c r="P39" i="12"/>
  <c r="O39" i="12"/>
  <c r="N39" i="12"/>
  <c r="I39" i="12"/>
  <c r="H39" i="12"/>
  <c r="G39" i="12"/>
  <c r="F39" i="12"/>
  <c r="E39" i="12"/>
  <c r="D39" i="12"/>
  <c r="AF38" i="12"/>
  <c r="AE38" i="12"/>
  <c r="U38" i="12"/>
  <c r="T38" i="12"/>
  <c r="K38" i="12"/>
  <c r="J38" i="12"/>
  <c r="AF37" i="12"/>
  <c r="AE37" i="12"/>
  <c r="U37" i="12"/>
  <c r="T37" i="12"/>
  <c r="K37" i="12"/>
  <c r="J37" i="12"/>
  <c r="AF36" i="12"/>
  <c r="AE36" i="12"/>
  <c r="U36" i="12"/>
  <c r="T36" i="12"/>
  <c r="K36" i="12"/>
  <c r="J36" i="12"/>
  <c r="AF35" i="12"/>
  <c r="AE35" i="12"/>
  <c r="U35" i="12"/>
  <c r="T35" i="12"/>
  <c r="K35" i="12"/>
  <c r="J35" i="12"/>
  <c r="AF34" i="12"/>
  <c r="AE34" i="12"/>
  <c r="U34" i="12"/>
  <c r="T34" i="12"/>
  <c r="K34" i="12"/>
  <c r="J34" i="12"/>
  <c r="AF33" i="12"/>
  <c r="AE33" i="12"/>
  <c r="U33" i="12"/>
  <c r="T33" i="12"/>
  <c r="K33" i="12"/>
  <c r="J33" i="12"/>
  <c r="AF32" i="12"/>
  <c r="AE32" i="12"/>
  <c r="U32" i="12"/>
  <c r="T32" i="12"/>
  <c r="K32" i="12"/>
  <c r="J32" i="12"/>
  <c r="AF31" i="12"/>
  <c r="AE31" i="12"/>
  <c r="U31" i="12"/>
  <c r="T31" i="12"/>
  <c r="K31" i="12"/>
  <c r="J31" i="12"/>
  <c r="AF30" i="12"/>
  <c r="AE30" i="12"/>
  <c r="U30" i="12"/>
  <c r="T30" i="12"/>
  <c r="K30" i="12"/>
  <c r="J30" i="12"/>
  <c r="AF29" i="12"/>
  <c r="AE29" i="12"/>
  <c r="U29" i="12"/>
  <c r="T29" i="12"/>
  <c r="K29" i="12"/>
  <c r="J29" i="12"/>
  <c r="AF28" i="12"/>
  <c r="AE28" i="12"/>
  <c r="U28" i="12"/>
  <c r="T28" i="12"/>
  <c r="K28" i="12"/>
  <c r="J28" i="12"/>
  <c r="AF27" i="12"/>
  <c r="AE27" i="12"/>
  <c r="U27" i="12"/>
  <c r="T27" i="12"/>
  <c r="K27" i="12"/>
  <c r="J27" i="12"/>
  <c r="AF26" i="12"/>
  <c r="AE26" i="12"/>
  <c r="U26" i="12"/>
  <c r="T26" i="12"/>
  <c r="K26" i="12"/>
  <c r="J26" i="12"/>
  <c r="AF25" i="12"/>
  <c r="AE25" i="12"/>
  <c r="U25" i="12"/>
  <c r="T25" i="12"/>
  <c r="K25" i="12"/>
  <c r="J25" i="12"/>
  <c r="AF24" i="12"/>
  <c r="AE24" i="12"/>
  <c r="U24" i="12"/>
  <c r="T24" i="12"/>
  <c r="K24" i="12"/>
  <c r="J24" i="12"/>
  <c r="AF23" i="12"/>
  <c r="AE23" i="12"/>
  <c r="U23" i="12"/>
  <c r="T23" i="12"/>
  <c r="K23" i="12"/>
  <c r="J23" i="12"/>
  <c r="AF22" i="12"/>
  <c r="AE22" i="12"/>
  <c r="U22" i="12"/>
  <c r="T22" i="12"/>
  <c r="K22" i="12"/>
  <c r="J22" i="12"/>
  <c r="AF21" i="12"/>
  <c r="AE21" i="12"/>
  <c r="U21" i="12"/>
  <c r="T21" i="12"/>
  <c r="K21" i="12"/>
  <c r="J21" i="12"/>
  <c r="AF20" i="12"/>
  <c r="AE20" i="12"/>
  <c r="U20" i="12"/>
  <c r="T20" i="12"/>
  <c r="K20" i="12"/>
  <c r="J20" i="12"/>
  <c r="AF19" i="12"/>
  <c r="AE19" i="12"/>
  <c r="U19" i="12"/>
  <c r="T19" i="12"/>
  <c r="K19" i="12"/>
  <c r="J19" i="12"/>
  <c r="AF18" i="12"/>
  <c r="AE18" i="12"/>
  <c r="U18" i="12"/>
  <c r="T18" i="12"/>
  <c r="K18" i="12"/>
  <c r="J18" i="12"/>
  <c r="AF17" i="12"/>
  <c r="AE17" i="12"/>
  <c r="U17" i="12"/>
  <c r="T17" i="12"/>
  <c r="K17" i="12"/>
  <c r="J17" i="12"/>
  <c r="AF16" i="12"/>
  <c r="AE16" i="12"/>
  <c r="U16" i="12"/>
  <c r="T16" i="12"/>
  <c r="K16" i="12"/>
  <c r="J16" i="12"/>
  <c r="AF15" i="12"/>
  <c r="AE15" i="12"/>
  <c r="U15" i="12"/>
  <c r="T15" i="12"/>
  <c r="K15" i="12"/>
  <c r="J15" i="12"/>
  <c r="AF14" i="12"/>
  <c r="AE14" i="12"/>
  <c r="U14" i="12"/>
  <c r="T14" i="12"/>
  <c r="K14" i="12"/>
  <c r="J14" i="12"/>
  <c r="AF13" i="12"/>
  <c r="AE13" i="12"/>
  <c r="U13" i="12"/>
  <c r="T13" i="12"/>
  <c r="K13" i="12"/>
  <c r="J13" i="12"/>
  <c r="AF12" i="12"/>
  <c r="AE12" i="12"/>
  <c r="U12" i="12"/>
  <c r="T12" i="12"/>
  <c r="K12" i="12"/>
  <c r="J12" i="12"/>
  <c r="AF11" i="12"/>
  <c r="AE11" i="12"/>
  <c r="U11" i="12"/>
  <c r="T11" i="12"/>
  <c r="K11" i="12"/>
  <c r="J11" i="12"/>
  <c r="AF10" i="12"/>
  <c r="AE10" i="12"/>
  <c r="U10" i="12"/>
  <c r="T10" i="12"/>
  <c r="K10" i="12"/>
  <c r="J10" i="12"/>
  <c r="AF9" i="12"/>
  <c r="AE9" i="12"/>
  <c r="U9" i="12"/>
  <c r="T9" i="12"/>
  <c r="K9" i="12"/>
  <c r="J9" i="12"/>
  <c r="AF8" i="12"/>
  <c r="AE8" i="12"/>
  <c r="U8" i="12"/>
  <c r="T8" i="12"/>
  <c r="K8" i="12"/>
  <c r="J8" i="12"/>
  <c r="AF7" i="12"/>
  <c r="AE7" i="12"/>
  <c r="U7" i="12"/>
  <c r="T7" i="12"/>
  <c r="K7" i="12"/>
  <c r="J7" i="12"/>
  <c r="AF6" i="12"/>
  <c r="AE6" i="12"/>
  <c r="U6" i="12"/>
  <c r="U39" i="12" s="1"/>
  <c r="T6" i="12"/>
  <c r="K6" i="12"/>
  <c r="K39" i="12" s="1"/>
  <c r="J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F5" i="12"/>
  <c r="AE5" i="12"/>
  <c r="U5" i="12"/>
  <c r="T5" i="12"/>
  <c r="T39" i="12" s="1"/>
  <c r="K5" i="12"/>
  <c r="J5" i="12"/>
  <c r="J39" i="12" s="1"/>
  <c r="F10" i="34"/>
  <c r="E9" i="34"/>
  <c r="F9" i="34" s="1"/>
  <c r="E8" i="34"/>
  <c r="F8" i="34" s="1"/>
  <c r="E7" i="34"/>
  <c r="F7" i="34" s="1"/>
  <c r="E6" i="34"/>
  <c r="F6" i="34" s="1"/>
  <c r="E5" i="34"/>
  <c r="F5" i="34" s="1"/>
  <c r="D8" i="31"/>
  <c r="E8" i="31"/>
  <c r="C8" i="31"/>
  <c r="C5" i="31"/>
  <c r="D5" i="31" s="1"/>
  <c r="E5" i="31" s="1"/>
  <c r="E6" i="30"/>
  <c r="F6" i="30"/>
  <c r="D6" i="30"/>
  <c r="D5" i="30"/>
  <c r="E5" i="30" s="1"/>
  <c r="F5" i="30" s="1"/>
  <c r="D4" i="30"/>
  <c r="E4" i="30" s="1"/>
  <c r="F4" i="30" s="1"/>
  <c r="E9" i="10"/>
  <c r="F9" i="10"/>
  <c r="D9" i="10"/>
  <c r="D8" i="10"/>
  <c r="E8" i="10" s="1"/>
  <c r="F8" i="10" s="1"/>
  <c r="D7" i="10"/>
  <c r="E7" i="10" s="1"/>
  <c r="F7" i="10" s="1"/>
  <c r="D7" i="8"/>
  <c r="D8" i="8"/>
  <c r="E8" i="8" s="1"/>
  <c r="F8" i="8" s="1"/>
  <c r="D9" i="8"/>
  <c r="D10" i="8"/>
  <c r="E10" i="8" s="1"/>
  <c r="F10" i="8" s="1"/>
  <c r="D11" i="8"/>
  <c r="D12" i="8"/>
  <c r="E12" i="8" s="1"/>
  <c r="F12" i="8" s="1"/>
  <c r="D13" i="8"/>
  <c r="D14" i="8"/>
  <c r="E14" i="8" s="1"/>
  <c r="F14" i="8" s="1"/>
  <c r="D15" i="8"/>
  <c r="D16" i="8"/>
  <c r="E16" i="8" s="1"/>
  <c r="F16" i="8" s="1"/>
  <c r="D17" i="8"/>
  <c r="E17" i="8" s="1"/>
  <c r="F17" i="8" s="1"/>
  <c r="D18" i="8"/>
  <c r="E18" i="8" s="1"/>
  <c r="F18" i="8" s="1"/>
  <c r="D19" i="8"/>
  <c r="D20" i="8"/>
  <c r="E20" i="8" s="1"/>
  <c r="F20" i="8" s="1"/>
  <c r="D21" i="8"/>
  <c r="D22" i="8"/>
  <c r="E22" i="8" s="1"/>
  <c r="F22" i="8" s="1"/>
  <c r="D23" i="8"/>
  <c r="D24" i="8"/>
  <c r="E24" i="8" s="1"/>
  <c r="F24" i="8" s="1"/>
  <c r="D25" i="8"/>
  <c r="D26" i="8"/>
  <c r="E26" i="8" s="1"/>
  <c r="F26" i="8" s="1"/>
  <c r="D27" i="8"/>
  <c r="D28" i="8"/>
  <c r="E28" i="8" s="1"/>
  <c r="F28" i="8" s="1"/>
  <c r="D29" i="8"/>
  <c r="D30" i="8"/>
  <c r="E30" i="8" s="1"/>
  <c r="F30" i="8" s="1"/>
  <c r="D31" i="8"/>
  <c r="D32" i="8"/>
  <c r="E32" i="8" s="1"/>
  <c r="F32" i="8" s="1"/>
  <c r="D33" i="8"/>
  <c r="D34" i="8"/>
  <c r="E34" i="8" s="1"/>
  <c r="F34" i="8" s="1"/>
  <c r="D35" i="8"/>
  <c r="D36" i="8"/>
  <c r="E36" i="8" s="1"/>
  <c r="F36" i="8" s="1"/>
  <c r="D37" i="8"/>
  <c r="D38" i="8"/>
  <c r="E38" i="8" s="1"/>
  <c r="F38" i="8" s="1"/>
  <c r="D39" i="8"/>
  <c r="E39" i="8" s="1"/>
  <c r="F39" i="8" s="1"/>
  <c r="D40" i="8"/>
  <c r="E40" i="8" s="1"/>
  <c r="F40" i="8" s="1"/>
  <c r="D41" i="8"/>
  <c r="E41" i="8" s="1"/>
  <c r="F41" i="8" s="1"/>
  <c r="D42" i="8"/>
  <c r="D43" i="8"/>
  <c r="E43" i="8" s="1"/>
  <c r="F43" i="8" s="1"/>
  <c r="D44" i="8"/>
  <c r="E44" i="8" s="1"/>
  <c r="F44" i="8" s="1"/>
  <c r="D45" i="8"/>
  <c r="E45" i="8" s="1"/>
  <c r="F45" i="8" s="1"/>
  <c r="D46" i="8"/>
  <c r="E46" i="8" s="1"/>
  <c r="F46" i="8" s="1"/>
  <c r="D47" i="8"/>
  <c r="E47" i="8" s="1"/>
  <c r="F47" i="8" s="1"/>
  <c r="D48" i="8"/>
  <c r="E48" i="8" s="1"/>
  <c r="F48" i="8" s="1"/>
  <c r="D49" i="8"/>
  <c r="E49" i="8" s="1"/>
  <c r="F49" i="8" s="1"/>
  <c r="D50" i="8"/>
  <c r="D51" i="8"/>
  <c r="E51" i="8" s="1"/>
  <c r="F51" i="8" s="1"/>
  <c r="D52" i="8"/>
  <c r="E52" i="8" s="1"/>
  <c r="F52" i="8" s="1"/>
  <c r="D53" i="8"/>
  <c r="E53" i="8" s="1"/>
  <c r="F53" i="8" s="1"/>
  <c r="D54" i="8"/>
  <c r="E54" i="8" s="1"/>
  <c r="F54" i="8" s="1"/>
  <c r="D55" i="8"/>
  <c r="E55" i="8" s="1"/>
  <c r="F55" i="8" s="1"/>
  <c r="D56" i="8"/>
  <c r="E56" i="8" s="1"/>
  <c r="F56" i="8" s="1"/>
  <c r="D57" i="8"/>
  <c r="D58" i="8"/>
  <c r="E58" i="8" s="1"/>
  <c r="F58" i="8" s="1"/>
  <c r="D59" i="8"/>
  <c r="E59" i="8" s="1"/>
  <c r="F59" i="8" s="1"/>
  <c r="D60" i="8"/>
  <c r="E60" i="8" s="1"/>
  <c r="F60" i="8" s="1"/>
  <c r="D61" i="8"/>
  <c r="D62" i="8"/>
  <c r="E62" i="8" s="1"/>
  <c r="F62" i="8" s="1"/>
  <c r="D63" i="8"/>
  <c r="E63" i="8" s="1"/>
  <c r="F63" i="8" s="1"/>
  <c r="D64" i="8"/>
  <c r="E64" i="8" s="1"/>
  <c r="F64" i="8" s="1"/>
  <c r="D65" i="8"/>
  <c r="D66" i="8"/>
  <c r="E66" i="8" s="1"/>
  <c r="F66" i="8" s="1"/>
  <c r="D67" i="8"/>
  <c r="E67" i="8" s="1"/>
  <c r="F67" i="8" s="1"/>
  <c r="D68" i="8"/>
  <c r="E68" i="8" s="1"/>
  <c r="F68" i="8" s="1"/>
  <c r="D69" i="8"/>
  <c r="D70" i="8"/>
  <c r="E70" i="8" s="1"/>
  <c r="F70" i="8" s="1"/>
  <c r="D71" i="8"/>
  <c r="E71" i="8" s="1"/>
  <c r="F71" i="8" s="1"/>
  <c r="D72" i="8"/>
  <c r="E72" i="8" s="1"/>
  <c r="F72" i="8" s="1"/>
  <c r="D73" i="8"/>
  <c r="D74" i="8"/>
  <c r="E74" i="8" s="1"/>
  <c r="F74" i="8" s="1"/>
  <c r="D75" i="8"/>
  <c r="E75" i="8" s="1"/>
  <c r="F75" i="8" s="1"/>
  <c r="D76" i="8"/>
  <c r="E76" i="8" s="1"/>
  <c r="F76" i="8" s="1"/>
  <c r="D77" i="8"/>
  <c r="E77" i="8" s="1"/>
  <c r="F77" i="8" s="1"/>
  <c r="D78" i="8"/>
  <c r="E78" i="8" s="1"/>
  <c r="F78" i="8" s="1"/>
  <c r="D79" i="8"/>
  <c r="D80" i="8"/>
  <c r="E80" i="8" s="1"/>
  <c r="F80" i="8" s="1"/>
  <c r="D81" i="8"/>
  <c r="E81" i="8" s="1"/>
  <c r="F81" i="8" s="1"/>
  <c r="D82" i="8"/>
  <c r="E82" i="8" s="1"/>
  <c r="F82" i="8" s="1"/>
  <c r="D83" i="8"/>
  <c r="D84" i="8"/>
  <c r="E84" i="8" s="1"/>
  <c r="F84" i="8" s="1"/>
  <c r="D85" i="8"/>
  <c r="E85" i="8" s="1"/>
  <c r="F85" i="8" s="1"/>
  <c r="D86" i="8"/>
  <c r="E86" i="8" s="1"/>
  <c r="F86" i="8" s="1"/>
  <c r="D87" i="8"/>
  <c r="E87" i="8" s="1"/>
  <c r="F87" i="8" s="1"/>
  <c r="D88" i="8"/>
  <c r="E88" i="8" s="1"/>
  <c r="F88" i="8" s="1"/>
  <c r="D89" i="8"/>
  <c r="E89" i="8" s="1"/>
  <c r="F89" i="8" s="1"/>
  <c r="D90" i="8"/>
  <c r="E90" i="8" s="1"/>
  <c r="F90" i="8" s="1"/>
  <c r="D91" i="8"/>
  <c r="E91" i="8" s="1"/>
  <c r="F91" i="8" s="1"/>
  <c r="D92" i="8"/>
  <c r="E92" i="8" s="1"/>
  <c r="F92" i="8" s="1"/>
  <c r="D93" i="8"/>
  <c r="E93" i="8" s="1"/>
  <c r="F93" i="8" s="1"/>
  <c r="D94" i="8"/>
  <c r="D95" i="8"/>
  <c r="E95" i="8" s="1"/>
  <c r="F95" i="8" s="1"/>
  <c r="D96" i="8"/>
  <c r="E96" i="8" s="1"/>
  <c r="F96" i="8" s="1"/>
  <c r="D97" i="8"/>
  <c r="E97" i="8" s="1"/>
  <c r="F97" i="8" s="1"/>
  <c r="D98" i="8"/>
  <c r="E98" i="8" s="1"/>
  <c r="F98" i="8" s="1"/>
  <c r="D99" i="8"/>
  <c r="E99" i="8" s="1"/>
  <c r="F99" i="8" s="1"/>
  <c r="D100" i="8"/>
  <c r="E100" i="8" s="1"/>
  <c r="F100" i="8" s="1"/>
  <c r="D101" i="8"/>
  <c r="E101" i="8" s="1"/>
  <c r="F101" i="8" s="1"/>
  <c r="D102" i="8"/>
  <c r="D103" i="8"/>
  <c r="E103" i="8" s="1"/>
  <c r="F103" i="8" s="1"/>
  <c r="D104" i="8"/>
  <c r="E104" i="8" s="1"/>
  <c r="F104" i="8" s="1"/>
  <c r="D105" i="8"/>
  <c r="E105" i="8" s="1"/>
  <c r="F105" i="8" s="1"/>
  <c r="D106" i="8"/>
  <c r="E106" i="8" s="1"/>
  <c r="F106" i="8" s="1"/>
  <c r="D107" i="8"/>
  <c r="E107" i="8" s="1"/>
  <c r="F107" i="8" s="1"/>
  <c r="D108" i="8"/>
  <c r="E108" i="8" s="1"/>
  <c r="F108" i="8" s="1"/>
  <c r="D109" i="8"/>
  <c r="E109" i="8" s="1"/>
  <c r="F109" i="8" s="1"/>
  <c r="D110" i="8"/>
  <c r="D111" i="8"/>
  <c r="E111" i="8" s="1"/>
  <c r="F111" i="8" s="1"/>
  <c r="D112" i="8"/>
  <c r="E112" i="8" s="1"/>
  <c r="F112" i="8" s="1"/>
  <c r="D113" i="8"/>
  <c r="E113" i="8" s="1"/>
  <c r="F113" i="8" s="1"/>
  <c r="D114" i="8"/>
  <c r="E114" i="8" s="1"/>
  <c r="F114" i="8" s="1"/>
  <c r="D115" i="8"/>
  <c r="E115" i="8" s="1"/>
  <c r="F115" i="8" s="1"/>
  <c r="D116" i="8"/>
  <c r="E116" i="8" s="1"/>
  <c r="F116" i="8" s="1"/>
  <c r="D117" i="8"/>
  <c r="E117" i="8" s="1"/>
  <c r="F117" i="8" s="1"/>
  <c r="D118" i="8"/>
  <c r="D119" i="8"/>
  <c r="E119" i="8" s="1"/>
  <c r="F119" i="8" s="1"/>
  <c r="D120" i="8"/>
  <c r="E120" i="8" s="1"/>
  <c r="F120" i="8" s="1"/>
  <c r="D121" i="8"/>
  <c r="E121" i="8" s="1"/>
  <c r="F121" i="8" s="1"/>
  <c r="D122" i="8"/>
  <c r="E122" i="8" s="1"/>
  <c r="F122" i="8" s="1"/>
  <c r="D123" i="8"/>
  <c r="E123" i="8" s="1"/>
  <c r="F123" i="8" s="1"/>
  <c r="D124" i="8"/>
  <c r="E124" i="8" s="1"/>
  <c r="F124" i="8" s="1"/>
  <c r="D125" i="8"/>
  <c r="E125" i="8" s="1"/>
  <c r="F125" i="8" s="1"/>
  <c r="D126" i="8"/>
  <c r="D127" i="8"/>
  <c r="E127" i="8" s="1"/>
  <c r="F127" i="8" s="1"/>
  <c r="D128" i="8"/>
  <c r="E128" i="8" s="1"/>
  <c r="F128" i="8" s="1"/>
  <c r="D129" i="8"/>
  <c r="E129" i="8" s="1"/>
  <c r="F129" i="8" s="1"/>
  <c r="D130" i="8"/>
  <c r="E130" i="8" s="1"/>
  <c r="F130" i="8" s="1"/>
  <c r="D131" i="8"/>
  <c r="E131" i="8" s="1"/>
  <c r="F131" i="8" s="1"/>
  <c r="D132" i="8"/>
  <c r="E132" i="8" s="1"/>
  <c r="F132" i="8" s="1"/>
  <c r="D133" i="8"/>
  <c r="E133" i="8" s="1"/>
  <c r="F133" i="8" s="1"/>
  <c r="D134" i="8"/>
  <c r="E134" i="8" s="1"/>
  <c r="F134" i="8" s="1"/>
  <c r="D135" i="8"/>
  <c r="E135" i="8" s="1"/>
  <c r="F135" i="8" s="1"/>
  <c r="D136" i="8"/>
  <c r="E136" i="8" s="1"/>
  <c r="F136" i="8" s="1"/>
  <c r="D137" i="8"/>
  <c r="E137" i="8" s="1"/>
  <c r="F137" i="8" s="1"/>
  <c r="D138" i="8"/>
  <c r="E138" i="8" s="1"/>
  <c r="F138" i="8" s="1"/>
  <c r="D139" i="8"/>
  <c r="E139" i="8" s="1"/>
  <c r="F139" i="8" s="1"/>
  <c r="D140" i="8"/>
  <c r="E140" i="8" s="1"/>
  <c r="F140" i="8" s="1"/>
  <c r="D141" i="8"/>
  <c r="E141" i="8" s="1"/>
  <c r="F141" i="8" s="1"/>
  <c r="D142" i="8"/>
  <c r="D143" i="8"/>
  <c r="E143" i="8" s="1"/>
  <c r="F143" i="8" s="1"/>
  <c r="D144" i="8"/>
  <c r="E144" i="8" s="1"/>
  <c r="F144" i="8" s="1"/>
  <c r="D145" i="8"/>
  <c r="E145" i="8" s="1"/>
  <c r="F145" i="8" s="1"/>
  <c r="D146" i="8"/>
  <c r="E146" i="8" s="1"/>
  <c r="F146" i="8" s="1"/>
  <c r="D147" i="8"/>
  <c r="E147" i="8" s="1"/>
  <c r="F147" i="8" s="1"/>
  <c r="D148" i="8"/>
  <c r="E148" i="8" s="1"/>
  <c r="F148" i="8" s="1"/>
  <c r="D149" i="8"/>
  <c r="E149" i="8" s="1"/>
  <c r="F149" i="8" s="1"/>
  <c r="D150" i="8"/>
  <c r="D151" i="8"/>
  <c r="E151" i="8" s="1"/>
  <c r="F151" i="8" s="1"/>
  <c r="D152" i="8"/>
  <c r="E152" i="8" s="1"/>
  <c r="F152" i="8" s="1"/>
  <c r="D153" i="8"/>
  <c r="E153" i="8" s="1"/>
  <c r="F153" i="8" s="1"/>
  <c r="D154" i="8"/>
  <c r="E154" i="8" s="1"/>
  <c r="F154" i="8" s="1"/>
  <c r="D155" i="8"/>
  <c r="E155" i="8" s="1"/>
  <c r="F155" i="8" s="1"/>
  <c r="D156" i="8"/>
  <c r="E156" i="8" s="1"/>
  <c r="F156" i="8" s="1"/>
  <c r="D157" i="8"/>
  <c r="E157" i="8" s="1"/>
  <c r="F157" i="8" s="1"/>
  <c r="D158" i="8"/>
  <c r="D159" i="8"/>
  <c r="E159" i="8" s="1"/>
  <c r="F159" i="8" s="1"/>
  <c r="D160" i="8"/>
  <c r="E160" i="8" s="1"/>
  <c r="F160" i="8" s="1"/>
  <c r="D161" i="8"/>
  <c r="E161" i="8" s="1"/>
  <c r="F161" i="8" s="1"/>
  <c r="D162" i="8"/>
  <c r="E162" i="8" s="1"/>
  <c r="F162" i="8" s="1"/>
  <c r="D163" i="8"/>
  <c r="E163" i="8" s="1"/>
  <c r="F163" i="8" s="1"/>
  <c r="D164" i="8"/>
  <c r="E164" i="8" s="1"/>
  <c r="F164" i="8" s="1"/>
  <c r="D165" i="8"/>
  <c r="E165" i="8" s="1"/>
  <c r="F165" i="8" s="1"/>
  <c r="D166" i="8"/>
  <c r="D167" i="8"/>
  <c r="E167" i="8" s="1"/>
  <c r="F167" i="8" s="1"/>
  <c r="D168" i="8"/>
  <c r="E168" i="8" s="1"/>
  <c r="F168" i="8" s="1"/>
  <c r="D169" i="8"/>
  <c r="E169" i="8" s="1"/>
  <c r="F169" i="8" s="1"/>
  <c r="D170" i="8"/>
  <c r="E170" i="8" s="1"/>
  <c r="F170" i="8" s="1"/>
  <c r="D171" i="8"/>
  <c r="E171" i="8" s="1"/>
  <c r="F171" i="8" s="1"/>
  <c r="D172" i="8"/>
  <c r="E172" i="8" s="1"/>
  <c r="F172" i="8" s="1"/>
  <c r="D173" i="8"/>
  <c r="E173" i="8" s="1"/>
  <c r="F173" i="8" s="1"/>
  <c r="D6" i="8"/>
  <c r="E6" i="8" s="1"/>
  <c r="F6" i="8" s="1"/>
  <c r="E166" i="8"/>
  <c r="F166" i="8" s="1"/>
  <c r="E158" i="8"/>
  <c r="F158" i="8" s="1"/>
  <c r="E150" i="8"/>
  <c r="F150" i="8" s="1"/>
  <c r="E142" i="8"/>
  <c r="F142" i="8" s="1"/>
  <c r="E126" i="8"/>
  <c r="F126" i="8" s="1"/>
  <c r="E118" i="8"/>
  <c r="F118" i="8" s="1"/>
  <c r="E110" i="8"/>
  <c r="F110" i="8" s="1"/>
  <c r="E102" i="8"/>
  <c r="F102" i="8" s="1"/>
  <c r="E94" i="8"/>
  <c r="F94" i="8" s="1"/>
  <c r="E83" i="8"/>
  <c r="F83" i="8" s="1"/>
  <c r="E79" i="8"/>
  <c r="F79" i="8" s="1"/>
  <c r="E73" i="8"/>
  <c r="F73" i="8" s="1"/>
  <c r="E69" i="8"/>
  <c r="F69" i="8" s="1"/>
  <c r="E65" i="8"/>
  <c r="F65" i="8" s="1"/>
  <c r="E61" i="8"/>
  <c r="F61" i="8" s="1"/>
  <c r="E57" i="8"/>
  <c r="F57" i="8" s="1"/>
  <c r="E50" i="8"/>
  <c r="F50" i="8" s="1"/>
  <c r="E42" i="8"/>
  <c r="F42" i="8" s="1"/>
  <c r="E37" i="8"/>
  <c r="F37" i="8" s="1"/>
  <c r="E35" i="8"/>
  <c r="F35" i="8" s="1"/>
  <c r="E33" i="8"/>
  <c r="F33" i="8" s="1"/>
  <c r="E31" i="8"/>
  <c r="F31" i="8" s="1"/>
  <c r="E29" i="8"/>
  <c r="F29" i="8" s="1"/>
  <c r="E27" i="8"/>
  <c r="F27" i="8" s="1"/>
  <c r="E25" i="8"/>
  <c r="F25" i="8" s="1"/>
  <c r="E23" i="8"/>
  <c r="F23" i="8" s="1"/>
  <c r="E21" i="8"/>
  <c r="F21" i="8" s="1"/>
  <c r="E19" i="8"/>
  <c r="F19" i="8" s="1"/>
  <c r="E15" i="8"/>
  <c r="F15" i="8" s="1"/>
  <c r="E13" i="8"/>
  <c r="F13" i="8" s="1"/>
  <c r="E11" i="8"/>
  <c r="F11" i="8" s="1"/>
  <c r="E9" i="8"/>
  <c r="F9" i="8" s="1"/>
  <c r="E7" i="8"/>
  <c r="F7" i="8" s="1"/>
  <c r="D21" i="7"/>
  <c r="E21" i="7" s="1"/>
  <c r="F21" i="7" s="1"/>
  <c r="D20" i="7"/>
  <c r="E20" i="7" s="1"/>
  <c r="F20" i="7" s="1"/>
  <c r="D19" i="7"/>
  <c r="E19" i="7" s="1"/>
  <c r="F19" i="7" s="1"/>
  <c r="D18" i="7"/>
  <c r="E18" i="7" s="1"/>
  <c r="F18" i="7" s="1"/>
  <c r="D17" i="7"/>
  <c r="E17" i="7" s="1"/>
  <c r="F17" i="7" s="1"/>
  <c r="D16" i="7"/>
  <c r="E16" i="7" s="1"/>
  <c r="F16" i="7" s="1"/>
  <c r="D15" i="7"/>
  <c r="E15" i="7" s="1"/>
  <c r="F15" i="7" s="1"/>
  <c r="D14" i="7"/>
  <c r="E14" i="7" s="1"/>
  <c r="F14" i="7" s="1"/>
  <c r="D13" i="7"/>
  <c r="E13" i="7" s="1"/>
  <c r="F13" i="7" s="1"/>
  <c r="D12" i="7"/>
  <c r="E12" i="7" s="1"/>
  <c r="F12" i="7" s="1"/>
  <c r="D11" i="7"/>
  <c r="E11" i="7" s="1"/>
  <c r="F11" i="7" s="1"/>
  <c r="D10" i="7"/>
  <c r="E10" i="7" s="1"/>
  <c r="F10" i="7" s="1"/>
  <c r="D9" i="7"/>
  <c r="E9" i="7" s="1"/>
  <c r="F9" i="7" s="1"/>
  <c r="D8" i="7"/>
  <c r="E8" i="7" s="1"/>
  <c r="F8" i="7" s="1"/>
  <c r="D7" i="7"/>
  <c r="E7" i="7" s="1"/>
  <c r="F7" i="7" s="1"/>
  <c r="C17" i="59"/>
  <c r="D16" i="59"/>
  <c r="D15" i="59"/>
  <c r="D14" i="59"/>
  <c r="D13" i="59"/>
  <c r="D12" i="59"/>
  <c r="D11" i="59"/>
  <c r="D10" i="59"/>
  <c r="D9" i="59"/>
  <c r="D8" i="59"/>
  <c r="E7" i="59"/>
  <c r="F7" i="59" s="1"/>
  <c r="D7" i="59"/>
  <c r="D6" i="59"/>
  <c r="E6" i="59" s="1"/>
  <c r="E13" i="56"/>
  <c r="F13" i="56"/>
  <c r="D10" i="56"/>
  <c r="D11" i="56"/>
  <c r="D12" i="56"/>
  <c r="D9" i="56"/>
  <c r="D13" i="56" s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9" i="11"/>
  <c r="E35" i="11"/>
  <c r="F35" i="11" s="1"/>
  <c r="E34" i="11"/>
  <c r="F34" i="11" s="1"/>
  <c r="E33" i="11"/>
  <c r="F33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1" i="11"/>
  <c r="F11" i="11" s="1"/>
  <c r="E10" i="11"/>
  <c r="F10" i="11" s="1"/>
  <c r="D4" i="18"/>
  <c r="F4" i="18"/>
  <c r="I4" i="18"/>
  <c r="D5" i="18"/>
  <c r="F5" i="18"/>
  <c r="I5" i="18"/>
  <c r="D6" i="18"/>
  <c r="F6" i="18"/>
  <c r="I6" i="18"/>
  <c r="K7" i="18"/>
  <c r="AU6" i="16"/>
  <c r="Y8" i="16"/>
  <c r="E8" i="16"/>
  <c r="G8" i="16" s="1"/>
  <c r="D8" i="16"/>
  <c r="Y7" i="16"/>
  <c r="E7" i="16"/>
  <c r="H7" i="16" s="1"/>
  <c r="D7" i="16"/>
  <c r="Y6" i="16"/>
  <c r="E6" i="16"/>
  <c r="G6" i="16" s="1"/>
  <c r="D6" i="16"/>
  <c r="D16" i="21"/>
  <c r="F15" i="21"/>
  <c r="G15" i="21" s="1"/>
  <c r="G16" i="21" s="1"/>
  <c r="D13" i="21"/>
  <c r="E12" i="21"/>
  <c r="E11" i="21"/>
  <c r="F10" i="21"/>
  <c r="G10" i="21" s="1"/>
  <c r="F9" i="21"/>
  <c r="G9" i="21" s="1"/>
  <c r="F8" i="21"/>
  <c r="G8" i="21" s="1"/>
  <c r="F7" i="21"/>
  <c r="G7" i="21" s="1"/>
  <c r="F6" i="21"/>
  <c r="E14" i="20"/>
  <c r="F14" i="20" s="1"/>
  <c r="G14" i="20" s="1"/>
  <c r="E7" i="20"/>
  <c r="E8" i="20"/>
  <c r="E9" i="20"/>
  <c r="E10" i="20"/>
  <c r="E11" i="20"/>
  <c r="E12" i="20"/>
  <c r="E13" i="20"/>
  <c r="E6" i="20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  <c r="F7" i="20"/>
  <c r="G7" i="20" s="1"/>
  <c r="F6" i="20"/>
  <c r="G6" i="20" s="1"/>
  <c r="J5" i="55"/>
  <c r="I7" i="55"/>
  <c r="E7" i="55"/>
  <c r="J7" i="55" s="1"/>
  <c r="I6" i="55"/>
  <c r="E6" i="55"/>
  <c r="J6" i="55" s="1"/>
  <c r="I5" i="55"/>
  <c r="E5" i="55"/>
  <c r="E7" i="13"/>
  <c r="E8" i="13"/>
  <c r="F8" i="13" s="1"/>
  <c r="G8" i="13" s="1"/>
  <c r="E9" i="13"/>
  <c r="E10" i="13"/>
  <c r="E11" i="13"/>
  <c r="F11" i="13" s="1"/>
  <c r="G11" i="13" s="1"/>
  <c r="E12" i="13"/>
  <c r="E6" i="13"/>
  <c r="F10" i="13"/>
  <c r="G10" i="13" s="1"/>
  <c r="F9" i="13"/>
  <c r="G9" i="13" s="1"/>
  <c r="F7" i="13"/>
  <c r="G7" i="13" s="1"/>
  <c r="F6" i="13"/>
  <c r="G6" i="13" s="1"/>
  <c r="P5" i="25"/>
  <c r="O7" i="25"/>
  <c r="J7" i="25"/>
  <c r="G7" i="25"/>
  <c r="D7" i="25"/>
  <c r="P7" i="25" s="1"/>
  <c r="O6" i="25"/>
  <c r="J6" i="25"/>
  <c r="G6" i="25"/>
  <c r="D6" i="25"/>
  <c r="P6" i="25" s="1"/>
  <c r="O5" i="25"/>
  <c r="J5" i="25"/>
  <c r="G5" i="25"/>
  <c r="D5" i="25"/>
  <c r="C7" i="27"/>
  <c r="C53" i="52"/>
  <c r="D53" i="52"/>
  <c r="F53" i="52"/>
  <c r="H53" i="52"/>
  <c r="I53" i="52"/>
  <c r="J53" i="52"/>
  <c r="L53" i="52"/>
  <c r="N53" i="52"/>
  <c r="P53" i="52"/>
  <c r="R53" i="52"/>
  <c r="T53" i="52"/>
  <c r="U53" i="52"/>
  <c r="V53" i="52"/>
  <c r="X53" i="52"/>
  <c r="Z53" i="52"/>
  <c r="AA53" i="52"/>
  <c r="AB53" i="52"/>
  <c r="AC53" i="52"/>
  <c r="B53" i="52"/>
  <c r="T48" i="52"/>
  <c r="S48" i="52"/>
  <c r="Q48" i="52"/>
  <c r="P48" i="52"/>
  <c r="O48" i="52"/>
  <c r="M48" i="52"/>
  <c r="K48" i="52"/>
  <c r="I48" i="52"/>
  <c r="G48" i="52"/>
  <c r="B48" i="52"/>
  <c r="AB47" i="52"/>
  <c r="R47" i="52"/>
  <c r="N47" i="52"/>
  <c r="L47" i="52"/>
  <c r="J47" i="52"/>
  <c r="D52" i="52"/>
  <c r="AB52" i="52" s="1"/>
  <c r="D46" i="52"/>
  <c r="AB46" i="52" s="1"/>
  <c r="D45" i="52"/>
  <c r="J45" i="52" s="1"/>
  <c r="D51" i="52"/>
  <c r="R51" i="52" s="1"/>
  <c r="C44" i="52"/>
  <c r="D44" i="52" s="1"/>
  <c r="C43" i="52"/>
  <c r="D43" i="52" s="1"/>
  <c r="C42" i="52"/>
  <c r="D42" i="52" s="1"/>
  <c r="J42" i="52" s="1"/>
  <c r="C41" i="52"/>
  <c r="D41" i="52" s="1"/>
  <c r="C40" i="52"/>
  <c r="D40" i="52" s="1"/>
  <c r="C39" i="52"/>
  <c r="D39" i="52" s="1"/>
  <c r="C38" i="52"/>
  <c r="D38" i="52" s="1"/>
  <c r="C37" i="52"/>
  <c r="D37" i="52" s="1"/>
  <c r="C36" i="52"/>
  <c r="D36" i="52" s="1"/>
  <c r="C35" i="52"/>
  <c r="D35" i="52" s="1"/>
  <c r="C34" i="52"/>
  <c r="D34" i="52" s="1"/>
  <c r="C50" i="52"/>
  <c r="D50" i="52" s="1"/>
  <c r="C33" i="52"/>
  <c r="C48" i="52" s="1"/>
  <c r="D32" i="52"/>
  <c r="AB32" i="52" s="1"/>
  <c r="F31" i="52"/>
  <c r="D31" i="52"/>
  <c r="AB31" i="52" s="1"/>
  <c r="D30" i="52"/>
  <c r="AB30" i="52" s="1"/>
  <c r="D29" i="52"/>
  <c r="AB29" i="52" s="1"/>
  <c r="T27" i="52"/>
  <c r="R27" i="52"/>
  <c r="P27" i="52"/>
  <c r="C27" i="52"/>
  <c r="B27" i="52"/>
  <c r="D26" i="52"/>
  <c r="D25" i="52"/>
  <c r="D24" i="52"/>
  <c r="D23" i="52"/>
  <c r="D22" i="52"/>
  <c r="D21" i="52"/>
  <c r="D20" i="52"/>
  <c r="D19" i="52"/>
  <c r="AB19" i="52" s="1"/>
  <c r="D18" i="52"/>
  <c r="AB18" i="52" s="1"/>
  <c r="D17" i="52"/>
  <c r="R17" i="52" s="1"/>
  <c r="D16" i="52"/>
  <c r="N16" i="52" s="1"/>
  <c r="D15" i="52"/>
  <c r="D14" i="52"/>
  <c r="N14" i="52" s="1"/>
  <c r="D13" i="52"/>
  <c r="D12" i="52"/>
  <c r="F12" i="52" s="1"/>
  <c r="T10" i="52"/>
  <c r="P10" i="52"/>
  <c r="B10" i="52"/>
  <c r="C9" i="52"/>
  <c r="D9" i="52" s="1"/>
  <c r="C8" i="52"/>
  <c r="D8" i="52" s="1"/>
  <c r="D10" i="52" s="1"/>
  <c r="CM29" i="51"/>
  <c r="AG9" i="53"/>
  <c r="AC9" i="53"/>
  <c r="AA9" i="53"/>
  <c r="AB9" i="53" s="1"/>
  <c r="Y9" i="53"/>
  <c r="V9" i="53"/>
  <c r="R9" i="53"/>
  <c r="S9" i="53" s="1"/>
  <c r="P9" i="53"/>
  <c r="M9" i="53"/>
  <c r="I9" i="53"/>
  <c r="J9" i="53" s="1"/>
  <c r="F9" i="53"/>
  <c r="W9" i="53" s="1"/>
  <c r="D9" i="53"/>
  <c r="K5" i="54"/>
  <c r="L5" i="54" s="1"/>
  <c r="H5" i="54"/>
  <c r="D45" i="11" l="1"/>
  <c r="E9" i="11"/>
  <c r="L6" i="42"/>
  <c r="F9" i="42"/>
  <c r="G8" i="42"/>
  <c r="J8" i="42" s="1"/>
  <c r="L8" i="42" s="1"/>
  <c r="N8" i="42" s="1"/>
  <c r="I5" i="23"/>
  <c r="AF39" i="12"/>
  <c r="D174" i="8"/>
  <c r="F174" i="8"/>
  <c r="E174" i="8"/>
  <c r="F22" i="7"/>
  <c r="D22" i="7"/>
  <c r="E22" i="7"/>
  <c r="E17" i="59"/>
  <c r="F6" i="59"/>
  <c r="F17" i="59" s="1"/>
  <c r="D17" i="59"/>
  <c r="L5" i="18"/>
  <c r="F7" i="18"/>
  <c r="CJ8" i="50" s="1"/>
  <c r="D7" i="18"/>
  <c r="CJ6" i="50" s="1"/>
  <c r="L6" i="18"/>
  <c r="L4" i="18"/>
  <c r="I7" i="18"/>
  <c r="CJ7" i="50" s="1"/>
  <c r="K7" i="16"/>
  <c r="J7" i="16"/>
  <c r="H6" i="16"/>
  <c r="G7" i="16"/>
  <c r="H8" i="16"/>
  <c r="F16" i="21"/>
  <c r="E16" i="21"/>
  <c r="CJ95" i="50" s="1"/>
  <c r="F13" i="21"/>
  <c r="G6" i="21"/>
  <c r="G13" i="21" s="1"/>
  <c r="E13" i="21"/>
  <c r="CJ83" i="50" s="1"/>
  <c r="G15" i="20"/>
  <c r="E15" i="20"/>
  <c r="CJ82" i="50" s="1"/>
  <c r="F15" i="20"/>
  <c r="G13" i="13"/>
  <c r="F13" i="13"/>
  <c r="E13" i="13"/>
  <c r="F29" i="52"/>
  <c r="F46" i="52"/>
  <c r="H18" i="52"/>
  <c r="N19" i="52"/>
  <c r="N32" i="52"/>
  <c r="F52" i="52"/>
  <c r="R18" i="52"/>
  <c r="F19" i="52"/>
  <c r="N29" i="52"/>
  <c r="N31" i="52"/>
  <c r="F32" i="52"/>
  <c r="F51" i="52"/>
  <c r="H50" i="52"/>
  <c r="R50" i="52"/>
  <c r="R35" i="52"/>
  <c r="H35" i="52"/>
  <c r="H37" i="52"/>
  <c r="R37" i="52"/>
  <c r="R39" i="52"/>
  <c r="H39" i="52"/>
  <c r="H41" i="52"/>
  <c r="R41" i="52"/>
  <c r="H43" i="52"/>
  <c r="R43" i="52"/>
  <c r="N12" i="52"/>
  <c r="J14" i="52"/>
  <c r="AB14" i="52"/>
  <c r="J16" i="52"/>
  <c r="AB16" i="52"/>
  <c r="L18" i="52"/>
  <c r="J19" i="52"/>
  <c r="L51" i="52"/>
  <c r="AB51" i="52"/>
  <c r="R46" i="52"/>
  <c r="R52" i="52"/>
  <c r="F14" i="52"/>
  <c r="F16" i="52"/>
  <c r="J29" i="52"/>
  <c r="J31" i="52"/>
  <c r="J32" i="52"/>
  <c r="L46" i="52"/>
  <c r="L52" i="52"/>
  <c r="AB9" i="52"/>
  <c r="R9" i="52"/>
  <c r="L9" i="52"/>
  <c r="H9" i="52"/>
  <c r="N9" i="52"/>
  <c r="J9" i="52"/>
  <c r="F9" i="52"/>
  <c r="H8" i="52"/>
  <c r="H10" i="52" s="1"/>
  <c r="L8" i="52"/>
  <c r="R8" i="52"/>
  <c r="R10" i="52" s="1"/>
  <c r="AB8" i="52"/>
  <c r="AB10" i="52" s="1"/>
  <c r="C10" i="52"/>
  <c r="AB13" i="52"/>
  <c r="N13" i="52"/>
  <c r="J13" i="52"/>
  <c r="F13" i="52"/>
  <c r="L13" i="52"/>
  <c r="F8" i="52"/>
  <c r="F10" i="52" s="1"/>
  <c r="J8" i="52"/>
  <c r="J10" i="52" s="1"/>
  <c r="N8" i="52"/>
  <c r="N10" i="52" s="1"/>
  <c r="R12" i="52"/>
  <c r="L12" i="52"/>
  <c r="H12" i="52"/>
  <c r="D27" i="52"/>
  <c r="J12" i="52"/>
  <c r="AB12" i="52"/>
  <c r="H13" i="52"/>
  <c r="R13" i="52"/>
  <c r="H15" i="52"/>
  <c r="R15" i="52"/>
  <c r="H17" i="52"/>
  <c r="AB15" i="52"/>
  <c r="N15" i="52"/>
  <c r="J15" i="52"/>
  <c r="F15" i="52"/>
  <c r="L15" i="52"/>
  <c r="AB17" i="52"/>
  <c r="N17" i="52"/>
  <c r="J17" i="52"/>
  <c r="F17" i="52"/>
  <c r="L17" i="52"/>
  <c r="H20" i="52"/>
  <c r="L20" i="52"/>
  <c r="R20" i="52"/>
  <c r="AB20" i="52"/>
  <c r="H21" i="52"/>
  <c r="L21" i="52"/>
  <c r="R21" i="52"/>
  <c r="AB21" i="52"/>
  <c r="H22" i="52"/>
  <c r="L22" i="52"/>
  <c r="R22" i="52"/>
  <c r="AB22" i="52"/>
  <c r="H23" i="52"/>
  <c r="L23" i="52"/>
  <c r="R23" i="52"/>
  <c r="AB23" i="52"/>
  <c r="H24" i="52"/>
  <c r="L24" i="52"/>
  <c r="R24" i="52"/>
  <c r="AB24" i="52"/>
  <c r="H25" i="52"/>
  <c r="L25" i="52"/>
  <c r="R25" i="52"/>
  <c r="AB25" i="52"/>
  <c r="H26" i="52"/>
  <c r="L26" i="52"/>
  <c r="R26" i="52"/>
  <c r="AB26" i="52"/>
  <c r="B49" i="52"/>
  <c r="P49" i="52"/>
  <c r="T49" i="52"/>
  <c r="H30" i="52"/>
  <c r="L30" i="52"/>
  <c r="R30" i="52"/>
  <c r="AB34" i="52"/>
  <c r="R34" i="52"/>
  <c r="L34" i="52"/>
  <c r="H34" i="52"/>
  <c r="J34" i="52"/>
  <c r="AB36" i="52"/>
  <c r="R36" i="52"/>
  <c r="L36" i="52"/>
  <c r="H36" i="52"/>
  <c r="J36" i="52"/>
  <c r="AB38" i="52"/>
  <c r="R38" i="52"/>
  <c r="L38" i="52"/>
  <c r="H38" i="52"/>
  <c r="J38" i="52"/>
  <c r="AB40" i="52"/>
  <c r="R40" i="52"/>
  <c r="L40" i="52"/>
  <c r="H40" i="52"/>
  <c r="N40" i="52"/>
  <c r="F40" i="52"/>
  <c r="AB44" i="52"/>
  <c r="R44" i="52"/>
  <c r="L44" i="52"/>
  <c r="H44" i="52"/>
  <c r="N44" i="52"/>
  <c r="F44" i="52"/>
  <c r="H14" i="52"/>
  <c r="L14" i="52"/>
  <c r="R14" i="52"/>
  <c r="H16" i="52"/>
  <c r="L16" i="52"/>
  <c r="R16" i="52"/>
  <c r="J18" i="52"/>
  <c r="N18" i="52"/>
  <c r="U18" i="52" s="1"/>
  <c r="H19" i="52"/>
  <c r="L19" i="52"/>
  <c r="R19" i="52"/>
  <c r="F20" i="52"/>
  <c r="J20" i="52"/>
  <c r="N20" i="52"/>
  <c r="F21" i="52"/>
  <c r="J21" i="52"/>
  <c r="N21" i="52"/>
  <c r="F22" i="52"/>
  <c r="J22" i="52"/>
  <c r="N22" i="52"/>
  <c r="F23" i="52"/>
  <c r="J23" i="52"/>
  <c r="N23" i="52"/>
  <c r="F24" i="52"/>
  <c r="J24" i="52"/>
  <c r="N24" i="52"/>
  <c r="F25" i="52"/>
  <c r="J25" i="52"/>
  <c r="N25" i="52"/>
  <c r="F26" i="52"/>
  <c r="J26" i="52"/>
  <c r="N26" i="52"/>
  <c r="C49" i="52"/>
  <c r="H29" i="52"/>
  <c r="L29" i="52"/>
  <c r="R29" i="52"/>
  <c r="F30" i="52"/>
  <c r="J30" i="52"/>
  <c r="N30" i="52"/>
  <c r="H31" i="52"/>
  <c r="L31" i="52"/>
  <c r="R31" i="52"/>
  <c r="H32" i="52"/>
  <c r="L32" i="52"/>
  <c r="R32" i="52"/>
  <c r="D33" i="52"/>
  <c r="N50" i="52"/>
  <c r="J50" i="52"/>
  <c r="F50" i="52"/>
  <c r="L50" i="52"/>
  <c r="AB50" i="52"/>
  <c r="F34" i="52"/>
  <c r="N34" i="52"/>
  <c r="N35" i="52"/>
  <c r="J35" i="52"/>
  <c r="F35" i="52"/>
  <c r="L35" i="52"/>
  <c r="AB35" i="52"/>
  <c r="F36" i="52"/>
  <c r="N36" i="52"/>
  <c r="N37" i="52"/>
  <c r="J37" i="52"/>
  <c r="F37" i="52"/>
  <c r="L37" i="52"/>
  <c r="AB37" i="52"/>
  <c r="F38" i="52"/>
  <c r="N38" i="52"/>
  <c r="AB39" i="52"/>
  <c r="N39" i="52"/>
  <c r="J39" i="52"/>
  <c r="F39" i="52"/>
  <c r="L39" i="52"/>
  <c r="J40" i="52"/>
  <c r="AB42" i="52"/>
  <c r="R42" i="52"/>
  <c r="L42" i="52"/>
  <c r="H42" i="52"/>
  <c r="N42" i="52"/>
  <c r="F42" i="52"/>
  <c r="U42" i="52"/>
  <c r="J44" i="52"/>
  <c r="N41" i="52"/>
  <c r="J41" i="52"/>
  <c r="F41" i="52"/>
  <c r="L41" i="52"/>
  <c r="AB41" i="52"/>
  <c r="N43" i="52"/>
  <c r="J43" i="52"/>
  <c r="F43" i="52"/>
  <c r="L43" i="52"/>
  <c r="AB43" i="52"/>
  <c r="AB45" i="52"/>
  <c r="R45" i="52"/>
  <c r="L45" i="52"/>
  <c r="F45" i="52"/>
  <c r="N45" i="52"/>
  <c r="J51" i="52"/>
  <c r="N51" i="52"/>
  <c r="U51" i="52" s="1"/>
  <c r="J46" i="52"/>
  <c r="N46" i="52"/>
  <c r="J52" i="52"/>
  <c r="N52" i="52"/>
  <c r="U47" i="52"/>
  <c r="G9" i="53"/>
  <c r="X9" i="53" s="1"/>
  <c r="Z9" i="53" s="1"/>
  <c r="AH9" i="53" s="1"/>
  <c r="AI9" i="53" s="1"/>
  <c r="F9" i="11" l="1"/>
  <c r="F45" i="11" s="1"/>
  <c r="E45" i="11"/>
  <c r="L7" i="18"/>
  <c r="N6" i="42"/>
  <c r="F10" i="42"/>
  <c r="G9" i="42"/>
  <c r="J9" i="42" s="1"/>
  <c r="L9" i="42" s="1"/>
  <c r="N9" i="42" s="1"/>
  <c r="J8" i="16"/>
  <c r="K8" i="16"/>
  <c r="J6" i="16"/>
  <c r="K6" i="16"/>
  <c r="N7" i="16"/>
  <c r="M7" i="16"/>
  <c r="U52" i="52"/>
  <c r="U30" i="52"/>
  <c r="U25" i="52"/>
  <c r="U21" i="52"/>
  <c r="U16" i="52"/>
  <c r="U44" i="52"/>
  <c r="AB27" i="52"/>
  <c r="U13" i="52"/>
  <c r="N27" i="52"/>
  <c r="U46" i="52"/>
  <c r="U43" i="52"/>
  <c r="U41" i="52"/>
  <c r="U38" i="52"/>
  <c r="U37" i="52"/>
  <c r="U36" i="52"/>
  <c r="U35" i="52"/>
  <c r="U34" i="52"/>
  <c r="U50" i="52"/>
  <c r="U31" i="52"/>
  <c r="U24" i="52"/>
  <c r="U20" i="52"/>
  <c r="U14" i="52"/>
  <c r="U17" i="52"/>
  <c r="X9" i="52"/>
  <c r="V41" i="52"/>
  <c r="X41" i="52" s="1"/>
  <c r="V37" i="52"/>
  <c r="X37" i="52" s="1"/>
  <c r="V25" i="52"/>
  <c r="X25" i="52" s="1"/>
  <c r="V21" i="52"/>
  <c r="X21" i="52" s="1"/>
  <c r="X16" i="52"/>
  <c r="Z16" i="52"/>
  <c r="V44" i="52"/>
  <c r="Z44" i="52" s="1"/>
  <c r="Z13" i="52"/>
  <c r="X13" i="52"/>
  <c r="Z46" i="52"/>
  <c r="X46" i="52"/>
  <c r="V43" i="52"/>
  <c r="X43" i="52" s="1"/>
  <c r="V38" i="52"/>
  <c r="Z38" i="52" s="1"/>
  <c r="V36" i="52"/>
  <c r="Z36" i="52" s="1"/>
  <c r="V35" i="52"/>
  <c r="X35" i="52" s="1"/>
  <c r="V34" i="52"/>
  <c r="Z34" i="52" s="1"/>
  <c r="V50" i="52"/>
  <c r="X50" i="52" s="1"/>
  <c r="V31" i="52"/>
  <c r="V24" i="52"/>
  <c r="Z24" i="52" s="1"/>
  <c r="V20" i="52"/>
  <c r="Z20" i="52" s="1"/>
  <c r="X14" i="52"/>
  <c r="Z14" i="52"/>
  <c r="Z17" i="52"/>
  <c r="X17" i="52"/>
  <c r="Z52" i="52"/>
  <c r="X52" i="52"/>
  <c r="V51" i="52"/>
  <c r="X51" i="52" s="1"/>
  <c r="U45" i="52"/>
  <c r="V42" i="52"/>
  <c r="Z42" i="52" s="1"/>
  <c r="U39" i="52"/>
  <c r="Z30" i="52"/>
  <c r="X30" i="52"/>
  <c r="Z18" i="52"/>
  <c r="X18" i="52"/>
  <c r="U40" i="52"/>
  <c r="U29" i="52"/>
  <c r="U15" i="52"/>
  <c r="U32" i="52"/>
  <c r="AA14" i="52"/>
  <c r="AC14" i="52" s="1"/>
  <c r="J27" i="52"/>
  <c r="H27" i="52"/>
  <c r="F27" i="52"/>
  <c r="Z9" i="52"/>
  <c r="AA9" i="52" s="1"/>
  <c r="AC9" i="52" s="1"/>
  <c r="V47" i="52"/>
  <c r="Z47" i="52" s="1"/>
  <c r="AB33" i="52"/>
  <c r="AB48" i="52" s="1"/>
  <c r="AB49" i="52" s="1"/>
  <c r="R33" i="52"/>
  <c r="R48" i="52" s="1"/>
  <c r="R49" i="52" s="1"/>
  <c r="L33" i="52"/>
  <c r="L48" i="52" s="1"/>
  <c r="N33" i="52"/>
  <c r="N48" i="52" s="1"/>
  <c r="N49" i="52" s="1"/>
  <c r="H33" i="52"/>
  <c r="H48" i="52" s="1"/>
  <c r="J33" i="52"/>
  <c r="J48" i="52" s="1"/>
  <c r="F33" i="52"/>
  <c r="U26" i="52"/>
  <c r="U23" i="52"/>
  <c r="U22" i="52"/>
  <c r="D48" i="52"/>
  <c r="AA30" i="52"/>
  <c r="AC30" i="52" s="1"/>
  <c r="U19" i="52"/>
  <c r="AA16" i="52"/>
  <c r="AC16" i="52" s="1"/>
  <c r="AA13" i="52"/>
  <c r="AC13" i="52" s="1"/>
  <c r="U12" i="52"/>
  <c r="D49" i="52"/>
  <c r="L27" i="52"/>
  <c r="X8" i="52"/>
  <c r="Z8" i="52"/>
  <c r="Z10" i="52" s="1"/>
  <c r="L10" i="52"/>
  <c r="F11" i="42" l="1"/>
  <c r="G10" i="42"/>
  <c r="J10" i="42" s="1"/>
  <c r="L10" i="42" s="1"/>
  <c r="N10" i="42" s="1"/>
  <c r="M6" i="16"/>
  <c r="N6" i="16"/>
  <c r="M8" i="16"/>
  <c r="N8" i="16"/>
  <c r="Q7" i="16"/>
  <c r="P7" i="16"/>
  <c r="Z51" i="52"/>
  <c r="AA52" i="52"/>
  <c r="AC52" i="52" s="1"/>
  <c r="X34" i="52"/>
  <c r="AA34" i="52" s="1"/>
  <c r="AC34" i="52" s="1"/>
  <c r="X36" i="52"/>
  <c r="AA36" i="52" s="1"/>
  <c r="AC36" i="52" s="1"/>
  <c r="Z37" i="52"/>
  <c r="AA37" i="52" s="1"/>
  <c r="AC37" i="52" s="1"/>
  <c r="Z25" i="52"/>
  <c r="AA25" i="52" s="1"/>
  <c r="AC25" i="52" s="1"/>
  <c r="AA18" i="52"/>
  <c r="AC18" i="52" s="1"/>
  <c r="AA51" i="52"/>
  <c r="AC51" i="52" s="1"/>
  <c r="AA46" i="52"/>
  <c r="AC46" i="52" s="1"/>
  <c r="Z21" i="52"/>
  <c r="AA21" i="52" s="1"/>
  <c r="AC21" i="52" s="1"/>
  <c r="Z41" i="52"/>
  <c r="AA41" i="52" s="1"/>
  <c r="AC41" i="52" s="1"/>
  <c r="L49" i="52"/>
  <c r="V22" i="52"/>
  <c r="Z22" i="52" s="1"/>
  <c r="U33" i="52"/>
  <c r="X47" i="52"/>
  <c r="AA47" i="52" s="1"/>
  <c r="AC47" i="52" s="1"/>
  <c r="H49" i="52"/>
  <c r="X32" i="52"/>
  <c r="Z32" i="52"/>
  <c r="V39" i="52"/>
  <c r="X39" i="52" s="1"/>
  <c r="X20" i="52"/>
  <c r="AA20" i="52" s="1"/>
  <c r="AC20" i="52" s="1"/>
  <c r="X24" i="52"/>
  <c r="AA24" i="52" s="1"/>
  <c r="AC24" i="52" s="1"/>
  <c r="F48" i="52"/>
  <c r="F49" i="52" s="1"/>
  <c r="X10" i="52"/>
  <c r="AA8" i="52"/>
  <c r="X12" i="52"/>
  <c r="Z12" i="52"/>
  <c r="V26" i="52"/>
  <c r="X26" i="52" s="1"/>
  <c r="X19" i="52"/>
  <c r="Z19" i="52"/>
  <c r="V23" i="52"/>
  <c r="Z23" i="52" s="1"/>
  <c r="J49" i="52"/>
  <c r="Z15" i="52"/>
  <c r="X15" i="52"/>
  <c r="X29" i="52"/>
  <c r="U48" i="52"/>
  <c r="U49" i="52" s="1"/>
  <c r="Z29" i="52"/>
  <c r="V40" i="52"/>
  <c r="Z40" i="52" s="1"/>
  <c r="X42" i="52"/>
  <c r="AA42" i="52" s="1"/>
  <c r="AC42" i="52" s="1"/>
  <c r="V45" i="52"/>
  <c r="Z45" i="52" s="1"/>
  <c r="AA17" i="52"/>
  <c r="AC17" i="52" s="1"/>
  <c r="X31" i="52"/>
  <c r="Z31" i="52"/>
  <c r="Z50" i="52"/>
  <c r="AA50" i="52" s="1"/>
  <c r="AC50" i="52" s="1"/>
  <c r="Z35" i="52"/>
  <c r="AA35" i="52" s="1"/>
  <c r="AC35" i="52" s="1"/>
  <c r="X38" i="52"/>
  <c r="AA38" i="52" s="1"/>
  <c r="AC38" i="52" s="1"/>
  <c r="Z43" i="52"/>
  <c r="AA43" i="52" s="1"/>
  <c r="AC43" i="52" s="1"/>
  <c r="X44" i="52"/>
  <c r="AA44" i="52" s="1"/>
  <c r="AC44" i="52" s="1"/>
  <c r="F12" i="42" l="1"/>
  <c r="G11" i="42"/>
  <c r="J11" i="42" s="1"/>
  <c r="L11" i="42" s="1"/>
  <c r="N11" i="42" s="1"/>
  <c r="P8" i="16"/>
  <c r="Q8" i="16"/>
  <c r="P6" i="16"/>
  <c r="Q6" i="16"/>
  <c r="T7" i="16"/>
  <c r="S7" i="16"/>
  <c r="AA31" i="52"/>
  <c r="AC31" i="52" s="1"/>
  <c r="X45" i="52"/>
  <c r="AA45" i="52" s="1"/>
  <c r="AC45" i="52" s="1"/>
  <c r="X40" i="52"/>
  <c r="AA40" i="52" s="1"/>
  <c r="AC40" i="52" s="1"/>
  <c r="AA15" i="52"/>
  <c r="AC15" i="52" s="1"/>
  <c r="AA19" i="52"/>
  <c r="AC19" i="52" s="1"/>
  <c r="Z26" i="52"/>
  <c r="AA26" i="52" s="1"/>
  <c r="AC26" i="52" s="1"/>
  <c r="Z39" i="52"/>
  <c r="AA32" i="52"/>
  <c r="AC32" i="52" s="1"/>
  <c r="X23" i="52"/>
  <c r="AA23" i="52" s="1"/>
  <c r="AC23" i="52" s="1"/>
  <c r="Z27" i="52"/>
  <c r="AC8" i="52"/>
  <c r="AC10" i="52" s="1"/>
  <c r="AA10" i="52"/>
  <c r="AA39" i="52"/>
  <c r="AC39" i="52" s="1"/>
  <c r="X22" i="52"/>
  <c r="AA22" i="52" s="1"/>
  <c r="AC22" i="52" s="1"/>
  <c r="AA29" i="52"/>
  <c r="AA12" i="52"/>
  <c r="V33" i="52"/>
  <c r="V48" i="52" s="1"/>
  <c r="V49" i="52" s="1"/>
  <c r="F13" i="42" l="1"/>
  <c r="G12" i="42"/>
  <c r="J12" i="42" s="1"/>
  <c r="L12" i="42" s="1"/>
  <c r="N12" i="42" s="1"/>
  <c r="S6" i="16"/>
  <c r="T6" i="16"/>
  <c r="S8" i="16"/>
  <c r="T8" i="16"/>
  <c r="Z7" i="16"/>
  <c r="V7" i="16"/>
  <c r="X27" i="52"/>
  <c r="AA27" i="52"/>
  <c r="AC12" i="52"/>
  <c r="X33" i="52"/>
  <c r="Z33" i="52"/>
  <c r="Z48" i="52" s="1"/>
  <c r="Z49" i="52" s="1"/>
  <c r="AC29" i="52"/>
  <c r="F14" i="42" l="1"/>
  <c r="G13" i="42"/>
  <c r="J13" i="42" s="1"/>
  <c r="L13" i="42" s="1"/>
  <c r="N13" i="42" s="1"/>
  <c r="Z8" i="16"/>
  <c r="V8" i="16"/>
  <c r="Z6" i="16"/>
  <c r="V6" i="16"/>
  <c r="AB7" i="16"/>
  <c r="AC7" i="16"/>
  <c r="AA33" i="52"/>
  <c r="X48" i="52"/>
  <c r="X49" i="52" s="1"/>
  <c r="F15" i="42" l="1"/>
  <c r="G14" i="42"/>
  <c r="J14" i="42" s="1"/>
  <c r="L14" i="42" s="1"/>
  <c r="N14" i="42" s="1"/>
  <c r="AE7" i="16"/>
  <c r="AF7" i="16"/>
  <c r="AC6" i="16"/>
  <c r="AB6" i="16"/>
  <c r="AC8" i="16"/>
  <c r="AB8" i="16"/>
  <c r="AC33" i="52"/>
  <c r="AC48" i="52" s="1"/>
  <c r="AC49" i="52" s="1"/>
  <c r="AA48" i="52"/>
  <c r="AA49" i="52" s="1"/>
  <c r="F16" i="42" l="1"/>
  <c r="G15" i="42"/>
  <c r="J15" i="42" s="1"/>
  <c r="L15" i="42" s="1"/>
  <c r="N15" i="42" s="1"/>
  <c r="AH7" i="16"/>
  <c r="AI7" i="16"/>
  <c r="AF8" i="16"/>
  <c r="AE8" i="16"/>
  <c r="AF6" i="16"/>
  <c r="AE6" i="16"/>
  <c r="F17" i="42" l="1"/>
  <c r="G16" i="42"/>
  <c r="J16" i="42" s="1"/>
  <c r="L16" i="42" s="1"/>
  <c r="N16" i="42" s="1"/>
  <c r="AK7" i="16"/>
  <c r="AL7" i="16"/>
  <c r="AI6" i="16"/>
  <c r="AH6" i="16"/>
  <c r="AI8" i="16"/>
  <c r="AH8" i="16"/>
  <c r="F18" i="42" l="1"/>
  <c r="G17" i="42"/>
  <c r="J17" i="42" s="1"/>
  <c r="L17" i="42" s="1"/>
  <c r="N17" i="42" s="1"/>
  <c r="AN7" i="16"/>
  <c r="AO7" i="16"/>
  <c r="AL8" i="16"/>
  <c r="AK8" i="16"/>
  <c r="AL6" i="16"/>
  <c r="AK6" i="16"/>
  <c r="F19" i="42" l="1"/>
  <c r="G19" i="42" s="1"/>
  <c r="J19" i="42" s="1"/>
  <c r="G18" i="42"/>
  <c r="J18" i="42" s="1"/>
  <c r="L18" i="42" s="1"/>
  <c r="N18" i="42" s="1"/>
  <c r="AQ7" i="16"/>
  <c r="AR7" i="16"/>
  <c r="AT7" i="16" s="1"/>
  <c r="AU7" i="16" s="1"/>
  <c r="AO6" i="16"/>
  <c r="AN6" i="16"/>
  <c r="AO8" i="16"/>
  <c r="AN8" i="16"/>
  <c r="L19" i="42" l="1"/>
  <c r="J20" i="42"/>
  <c r="AR8" i="16"/>
  <c r="AT8" i="16" s="1"/>
  <c r="AQ8" i="16"/>
  <c r="AR6" i="16"/>
  <c r="AT6" i="16" s="1"/>
  <c r="AQ6" i="16"/>
  <c r="N19" i="42" l="1"/>
  <c r="N20" i="42" s="1"/>
  <c r="L20" i="42"/>
  <c r="AU8" i="16"/>
  <c r="F11" i="47" l="1"/>
  <c r="T34" i="49"/>
  <c r="CE45" i="50" l="1"/>
  <c r="CJ107" i="51"/>
  <c r="CJ106" i="51"/>
  <c r="AH10" i="53"/>
  <c r="D7" i="2"/>
  <c r="D8" i="2"/>
  <c r="D9" i="2"/>
  <c r="D10" i="2"/>
  <c r="F10" i="2" s="1"/>
  <c r="D11" i="2"/>
  <c r="D12" i="2"/>
  <c r="D13" i="2"/>
  <c r="D14" i="2"/>
  <c r="D15" i="2"/>
  <c r="D16" i="2"/>
  <c r="D17" i="2"/>
  <c r="E17" i="2" s="1"/>
  <c r="D18" i="2"/>
  <c r="D19" i="2"/>
  <c r="E19" i="2" s="1"/>
  <c r="D20" i="2"/>
  <c r="D21" i="2"/>
  <c r="F21" i="2" s="1"/>
  <c r="D22" i="2"/>
  <c r="D23" i="2"/>
  <c r="D24" i="2"/>
  <c r="D25" i="2"/>
  <c r="E25" i="2" s="1"/>
  <c r="D26" i="2"/>
  <c r="D27" i="2"/>
  <c r="D28" i="2"/>
  <c r="F28" i="2" s="1"/>
  <c r="D29" i="2"/>
  <c r="E29" i="2" s="1"/>
  <c r="D30" i="2"/>
  <c r="D31" i="2"/>
  <c r="D32" i="2"/>
  <c r="D33" i="2"/>
  <c r="D34" i="2"/>
  <c r="D35" i="2"/>
  <c r="D36" i="2"/>
  <c r="F36" i="2" s="1"/>
  <c r="D37" i="2"/>
  <c r="D38" i="2"/>
  <c r="D6" i="2"/>
  <c r="E6" i="2" s="1"/>
  <c r="F38" i="2"/>
  <c r="E37" i="2"/>
  <c r="F37" i="2"/>
  <c r="E35" i="2"/>
  <c r="F34" i="2"/>
  <c r="E33" i="2"/>
  <c r="F32" i="2"/>
  <c r="E31" i="2"/>
  <c r="F30" i="2"/>
  <c r="E27" i="2"/>
  <c r="F26" i="2"/>
  <c r="F24" i="2"/>
  <c r="F23" i="2"/>
  <c r="F22" i="2"/>
  <c r="F20" i="2"/>
  <c r="F18" i="2"/>
  <c r="F17" i="2"/>
  <c r="F16" i="2"/>
  <c r="E15" i="2"/>
  <c r="F14" i="2"/>
  <c r="E13" i="2"/>
  <c r="F12" i="2"/>
  <c r="E11" i="2"/>
  <c r="E9" i="2"/>
  <c r="F8" i="2"/>
  <c r="E7" i="2"/>
  <c r="D14" i="3"/>
  <c r="F4" i="19"/>
  <c r="F5" i="19" s="1"/>
  <c r="K4" i="19"/>
  <c r="K5" i="19" s="1"/>
  <c r="H4" i="19"/>
  <c r="H5" i="19" s="1"/>
  <c r="E6" i="14"/>
  <c r="E7" i="14" s="1"/>
  <c r="CJ103" i="50" l="1"/>
  <c r="G59" i="49"/>
  <c r="D39" i="2"/>
  <c r="CJ104" i="50" s="1"/>
  <c r="F6" i="2"/>
  <c r="CJ109" i="50"/>
  <c r="E21" i="2"/>
  <c r="F7" i="2"/>
  <c r="E8" i="2"/>
  <c r="F9" i="2"/>
  <c r="E10" i="2"/>
  <c r="F11" i="2"/>
  <c r="E12" i="2"/>
  <c r="F13" i="2"/>
  <c r="E14" i="2"/>
  <c r="F15" i="2"/>
  <c r="E16" i="2"/>
  <c r="E18" i="2"/>
  <c r="F19" i="2"/>
  <c r="E20" i="2"/>
  <c r="E22" i="2"/>
  <c r="F25" i="2"/>
  <c r="E26" i="2"/>
  <c r="F27" i="2"/>
  <c r="E28" i="2"/>
  <c r="F29" i="2"/>
  <c r="E30" i="2"/>
  <c r="F31" i="2"/>
  <c r="E32" i="2"/>
  <c r="F33" i="2"/>
  <c r="E34" i="2"/>
  <c r="F35" i="2"/>
  <c r="E36" i="2"/>
  <c r="E38" i="2"/>
  <c r="L4" i="19"/>
  <c r="L5" i="19" s="1"/>
  <c r="F6" i="14"/>
  <c r="F7" i="14" s="1"/>
  <c r="E39" i="2" l="1"/>
  <c r="F39" i="2"/>
  <c r="G6" i="14"/>
  <c r="G7" i="14" s="1"/>
  <c r="D9" i="9" l="1"/>
  <c r="CJ110" i="50" s="1"/>
  <c r="E8" i="9"/>
  <c r="F8" i="9" s="1"/>
  <c r="E7" i="9"/>
  <c r="F7" i="9" s="1"/>
  <c r="E14" i="3"/>
  <c r="F14" i="3"/>
  <c r="CJ107" i="50"/>
  <c r="F9" i="9" l="1"/>
  <c r="E9" i="9"/>
  <c r="L31" i="49" l="1"/>
  <c r="DE116" i="50"/>
  <c r="I57" i="49"/>
  <c r="G30" i="49"/>
  <c r="L30" i="49" s="1"/>
  <c r="C45" i="11" l="1"/>
  <c r="D44" i="11"/>
  <c r="D43" i="11"/>
  <c r="D42" i="11"/>
  <c r="D41" i="11"/>
  <c r="D40" i="11"/>
  <c r="D39" i="11"/>
  <c r="D38" i="11"/>
  <c r="D37" i="11"/>
  <c r="D36" i="11"/>
  <c r="F39" i="47" l="1"/>
  <c r="O66" i="49"/>
  <c r="S67" i="49"/>
  <c r="S68" i="49"/>
  <c r="S66" i="49"/>
  <c r="S65" i="49"/>
  <c r="S9" i="49"/>
  <c r="R23" i="49"/>
  <c r="R24" i="49"/>
  <c r="R22" i="49"/>
  <c r="G66" i="49" l="1"/>
  <c r="G68" i="49"/>
  <c r="G55" i="49"/>
  <c r="L55" i="49" s="1"/>
  <c r="CJ166" i="51"/>
  <c r="W66" i="49" s="1"/>
  <c r="N66" i="49" s="1"/>
  <c r="CJ164" i="51"/>
  <c r="W34" i="49" s="1"/>
  <c r="CJ165" i="51"/>
  <c r="W71" i="49" s="1"/>
  <c r="CJ163" i="51"/>
  <c r="W14" i="49" s="1"/>
  <c r="CJ162" i="51"/>
  <c r="W9" i="49" s="1"/>
  <c r="N9" i="49" s="1"/>
  <c r="U10" i="53"/>
  <c r="G35" i="49" l="1"/>
  <c r="F35" i="49" s="1"/>
  <c r="G28" i="49"/>
  <c r="F28" i="49" l="1"/>
  <c r="G37" i="48"/>
  <c r="E98" i="47"/>
  <c r="CJ167" i="51"/>
  <c r="CJ154" i="51"/>
  <c r="CJ153" i="51"/>
  <c r="CJ155" i="51" s="1"/>
  <c r="CL145" i="51"/>
  <c r="CL137" i="51"/>
  <c r="CJ126" i="51"/>
  <c r="BD125" i="51"/>
  <c r="BD124" i="51"/>
  <c r="CJ117" i="51"/>
  <c r="Q12" i="49" s="1"/>
  <c r="N117" i="49" s="1"/>
  <c r="N116" i="49" s="1"/>
  <c r="F116" i="49" s="1"/>
  <c r="BT116" i="51"/>
  <c r="CJ108" i="51"/>
  <c r="CJ109" i="51" s="1"/>
  <c r="CJ97" i="51"/>
  <c r="U46" i="49" s="1"/>
  <c r="N46" i="49" s="1"/>
  <c r="F46" i="49" s="1"/>
  <c r="CM83" i="51"/>
  <c r="BW83" i="51"/>
  <c r="BW86" i="51" s="1"/>
  <c r="CM86" i="51" s="1"/>
  <c r="BW80" i="51"/>
  <c r="CM80" i="51" s="1"/>
  <c r="DE78" i="51"/>
  <c r="CM75" i="51"/>
  <c r="CM87" i="51" s="1"/>
  <c r="DE81" i="51" s="1"/>
  <c r="BW65" i="51"/>
  <c r="CM65" i="51" s="1"/>
  <c r="CM62" i="51"/>
  <c r="BW62" i="51"/>
  <c r="DE60" i="51"/>
  <c r="CM57" i="51"/>
  <c r="CJ42" i="51"/>
  <c r="BW28" i="51"/>
  <c r="CM28" i="51" s="1"/>
  <c r="BW25" i="51"/>
  <c r="CM25" i="51" s="1"/>
  <c r="BW22" i="51"/>
  <c r="CM22" i="51" s="1"/>
  <c r="CM17" i="51"/>
  <c r="CJ9" i="51"/>
  <c r="CJ7" i="51"/>
  <c r="CJ75" i="50"/>
  <c r="CJ74" i="50"/>
  <c r="CL60" i="50"/>
  <c r="G17" i="49" s="1"/>
  <c r="F17" i="49" s="1"/>
  <c r="CJ16" i="50"/>
  <c r="CJ17" i="50" s="1"/>
  <c r="L168" i="49"/>
  <c r="I168" i="49"/>
  <c r="H168" i="49" s="1"/>
  <c r="G168" i="49" s="1"/>
  <c r="F168" i="49" s="1"/>
  <c r="H158" i="49"/>
  <c r="G158" i="49" s="1"/>
  <c r="F158" i="49" s="1"/>
  <c r="E5" i="47" s="1"/>
  <c r="H156" i="49"/>
  <c r="G156" i="49"/>
  <c r="F156" i="49" s="1"/>
  <c r="H155" i="49"/>
  <c r="G155" i="49" s="1"/>
  <c r="F155" i="49" s="1"/>
  <c r="H154" i="49"/>
  <c r="G154" i="49"/>
  <c r="F154" i="49" s="1"/>
  <c r="H153" i="49"/>
  <c r="G153" i="49" s="1"/>
  <c r="F153" i="49" s="1"/>
  <c r="N152" i="49"/>
  <c r="H152" i="49"/>
  <c r="G152" i="49" s="1"/>
  <c r="F152" i="49"/>
  <c r="H151" i="49"/>
  <c r="G151" i="49"/>
  <c r="F151" i="49" s="1"/>
  <c r="H150" i="49"/>
  <c r="G150" i="49" s="1"/>
  <c r="F150" i="49"/>
  <c r="N149" i="49"/>
  <c r="H149" i="49"/>
  <c r="G149" i="49" s="1"/>
  <c r="F149" i="49" s="1"/>
  <c r="H148" i="49"/>
  <c r="G148" i="49"/>
  <c r="F148" i="49" s="1"/>
  <c r="H147" i="49"/>
  <c r="G147" i="49" s="1"/>
  <c r="F147" i="49" s="1"/>
  <c r="N146" i="49"/>
  <c r="H146" i="49"/>
  <c r="G146" i="49" s="1"/>
  <c r="F146" i="49"/>
  <c r="H145" i="49"/>
  <c r="G145" i="49"/>
  <c r="F145" i="49" s="1"/>
  <c r="H144" i="49"/>
  <c r="G144" i="49" s="1"/>
  <c r="H143" i="49"/>
  <c r="G143" i="49" s="1"/>
  <c r="H142" i="49"/>
  <c r="G142" i="49"/>
  <c r="F142" i="49" s="1"/>
  <c r="H141" i="49"/>
  <c r="G141" i="49"/>
  <c r="H140" i="49"/>
  <c r="G140" i="49"/>
  <c r="H139" i="49"/>
  <c r="G139" i="49" s="1"/>
  <c r="F139" i="49" s="1"/>
  <c r="H138" i="49"/>
  <c r="G138" i="49"/>
  <c r="H137" i="49"/>
  <c r="G137" i="49"/>
  <c r="H136" i="49"/>
  <c r="G136" i="49" s="1"/>
  <c r="F136" i="49"/>
  <c r="H135" i="49"/>
  <c r="G135" i="49" s="1"/>
  <c r="H134" i="49"/>
  <c r="G134" i="49" s="1"/>
  <c r="H133" i="49"/>
  <c r="G133" i="49"/>
  <c r="F133" i="49" s="1"/>
  <c r="H132" i="49"/>
  <c r="G132" i="49" s="1"/>
  <c r="H131" i="49"/>
  <c r="G131" i="49" s="1"/>
  <c r="H130" i="49"/>
  <c r="G130" i="49"/>
  <c r="F130" i="49" s="1"/>
  <c r="H129" i="49"/>
  <c r="G129" i="49"/>
  <c r="H128" i="49"/>
  <c r="G128" i="49"/>
  <c r="H127" i="49"/>
  <c r="G127" i="49" s="1"/>
  <c r="F127" i="49" s="1"/>
  <c r="H126" i="49"/>
  <c r="G126" i="49" s="1"/>
  <c r="H125" i="49"/>
  <c r="G125" i="49" s="1"/>
  <c r="H124" i="49"/>
  <c r="G124" i="49"/>
  <c r="F124" i="49" s="1"/>
  <c r="H123" i="49"/>
  <c r="G123" i="49"/>
  <c r="H122" i="49"/>
  <c r="G122" i="49"/>
  <c r="H121" i="49"/>
  <c r="G121" i="49" s="1"/>
  <c r="F121" i="49" s="1"/>
  <c r="H120" i="49"/>
  <c r="G120" i="49"/>
  <c r="F120" i="49" s="1"/>
  <c r="N119" i="49"/>
  <c r="H119" i="49"/>
  <c r="G119" i="49"/>
  <c r="F119" i="49" s="1"/>
  <c r="H118" i="49"/>
  <c r="G118" i="49" s="1"/>
  <c r="F118" i="49"/>
  <c r="H117" i="49"/>
  <c r="G117" i="49" s="1"/>
  <c r="H116" i="49"/>
  <c r="G116" i="49" s="1"/>
  <c r="H114" i="49"/>
  <c r="G114" i="49" s="1"/>
  <c r="H109" i="49"/>
  <c r="G109" i="49" s="1"/>
  <c r="K102" i="49"/>
  <c r="H102" i="49"/>
  <c r="L99" i="49"/>
  <c r="K99" i="49" s="1"/>
  <c r="G99" i="49" s="1"/>
  <c r="F99" i="49" s="1"/>
  <c r="H99" i="49"/>
  <c r="L98" i="49"/>
  <c r="K98" i="49" s="1"/>
  <c r="G98" i="49" s="1"/>
  <c r="H98" i="49"/>
  <c r="M97" i="49"/>
  <c r="H96" i="49"/>
  <c r="M88" i="49"/>
  <c r="J88" i="49"/>
  <c r="AA83" i="49"/>
  <c r="Y83" i="49"/>
  <c r="N129" i="49" s="1"/>
  <c r="N128" i="49" s="1"/>
  <c r="X83" i="49"/>
  <c r="N132" i="49" s="1"/>
  <c r="F132" i="49" s="1"/>
  <c r="R83" i="49"/>
  <c r="N123" i="49" s="1"/>
  <c r="N122" i="49" s="1"/>
  <c r="N71" i="49"/>
  <c r="H71" i="49"/>
  <c r="H70" i="49"/>
  <c r="H69" i="49"/>
  <c r="L68" i="49"/>
  <c r="K68" i="49" s="1"/>
  <c r="H68" i="49"/>
  <c r="F68" i="49"/>
  <c r="H67" i="49"/>
  <c r="Z83" i="49"/>
  <c r="H66" i="49"/>
  <c r="H65" i="49"/>
  <c r="P63" i="49"/>
  <c r="I63" i="49"/>
  <c r="H63" i="49" s="1"/>
  <c r="T60" i="49"/>
  <c r="N60" i="49"/>
  <c r="H60" i="49"/>
  <c r="L59" i="49"/>
  <c r="K59" i="49" s="1"/>
  <c r="H59" i="49"/>
  <c r="F59" i="49"/>
  <c r="P57" i="49"/>
  <c r="O57" i="49"/>
  <c r="N57" i="49"/>
  <c r="H57" i="49"/>
  <c r="K55" i="49"/>
  <c r="H55" i="49"/>
  <c r="F55" i="49"/>
  <c r="E62" i="47" s="1"/>
  <c r="H54" i="49"/>
  <c r="H51" i="49"/>
  <c r="H50" i="49"/>
  <c r="P48" i="49"/>
  <c r="O48" i="49"/>
  <c r="I48" i="49"/>
  <c r="H48" i="49" s="1"/>
  <c r="K46" i="49"/>
  <c r="H46" i="49"/>
  <c r="K45" i="49"/>
  <c r="H45" i="49"/>
  <c r="K44" i="49"/>
  <c r="H44" i="49"/>
  <c r="F44" i="49"/>
  <c r="K43" i="49"/>
  <c r="H43" i="49"/>
  <c r="F43" i="49"/>
  <c r="P40" i="49"/>
  <c r="O40" i="49"/>
  <c r="L40" i="49"/>
  <c r="K40" i="49"/>
  <c r="I40" i="49"/>
  <c r="H40" i="49"/>
  <c r="G40" i="49" s="1"/>
  <c r="L36" i="49"/>
  <c r="K36" i="49"/>
  <c r="H36" i="49"/>
  <c r="F36" i="49"/>
  <c r="H35" i="49"/>
  <c r="L35" i="49"/>
  <c r="K35" i="49" s="1"/>
  <c r="T83" i="49"/>
  <c r="N144" i="49" s="1"/>
  <c r="N143" i="49" s="1"/>
  <c r="N34" i="49"/>
  <c r="H34" i="49"/>
  <c r="I32" i="49"/>
  <c r="H32" i="49" s="1"/>
  <c r="N31" i="49"/>
  <c r="H31" i="49"/>
  <c r="G31" i="49"/>
  <c r="F31" i="49" s="1"/>
  <c r="F30" i="49"/>
  <c r="H29" i="49"/>
  <c r="L28" i="49"/>
  <c r="K28" i="49" s="1"/>
  <c r="H28" i="49"/>
  <c r="N26" i="49"/>
  <c r="I26" i="49"/>
  <c r="H26" i="49" s="1"/>
  <c r="F25" i="49"/>
  <c r="N24" i="49"/>
  <c r="F24" i="49" s="1"/>
  <c r="N23" i="49"/>
  <c r="F23" i="49" s="1"/>
  <c r="N22" i="49"/>
  <c r="F22" i="49" s="1"/>
  <c r="P20" i="49"/>
  <c r="O20" i="49"/>
  <c r="H20" i="49"/>
  <c r="H19" i="49"/>
  <c r="H17" i="49"/>
  <c r="L17" i="49"/>
  <c r="P15" i="49"/>
  <c r="M15" i="49"/>
  <c r="J15" i="49"/>
  <c r="H14" i="49"/>
  <c r="H13" i="49"/>
  <c r="N12" i="49"/>
  <c r="F12" i="49" s="1"/>
  <c r="K12" i="49"/>
  <c r="H12" i="49"/>
  <c r="H11" i="49"/>
  <c r="L10" i="49"/>
  <c r="K10" i="49" s="1"/>
  <c r="H10" i="49"/>
  <c r="F10" i="49"/>
  <c r="W83" i="49"/>
  <c r="N141" i="49" s="1"/>
  <c r="N140" i="49" s="1"/>
  <c r="H9" i="49"/>
  <c r="P7" i="49"/>
  <c r="O7" i="49"/>
  <c r="I7" i="49"/>
  <c r="H7" i="49" s="1"/>
  <c r="H30" i="48"/>
  <c r="H29" i="48"/>
  <c r="H11" i="48"/>
  <c r="H5" i="48"/>
  <c r="G86" i="47"/>
  <c r="F86" i="47"/>
  <c r="E86" i="47"/>
  <c r="G81" i="47"/>
  <c r="F81" i="47"/>
  <c r="E81" i="47"/>
  <c r="H77" i="47"/>
  <c r="G77" i="47"/>
  <c r="F77" i="47"/>
  <c r="E77" i="47"/>
  <c r="E74" i="47"/>
  <c r="H70" i="47"/>
  <c r="G68" i="47"/>
  <c r="F68" i="47"/>
  <c r="E68" i="47"/>
  <c r="G63" i="47"/>
  <c r="F63" i="47"/>
  <c r="E63" i="47"/>
  <c r="G52" i="47"/>
  <c r="F50" i="47"/>
  <c r="G50" i="47" s="1"/>
  <c r="G40" i="47"/>
  <c r="G39" i="47"/>
  <c r="G37" i="47"/>
  <c r="G35" i="47"/>
  <c r="F33" i="47"/>
  <c r="G33" i="47" s="1"/>
  <c r="H28" i="47"/>
  <c r="G28" i="47"/>
  <c r="F28" i="47"/>
  <c r="E28" i="47"/>
  <c r="E23" i="47"/>
  <c r="G21" i="47"/>
  <c r="H20" i="47"/>
  <c r="G20" i="47"/>
  <c r="F20" i="47"/>
  <c r="G12" i="47"/>
  <c r="H11" i="47"/>
  <c r="F7" i="47"/>
  <c r="G7" i="47" s="1"/>
  <c r="G8" i="47"/>
  <c r="H7" i="47"/>
  <c r="U83" i="49" l="1"/>
  <c r="N126" i="49" s="1"/>
  <c r="N125" i="49" s="1"/>
  <c r="F143" i="49"/>
  <c r="F144" i="49"/>
  <c r="Q83" i="49"/>
  <c r="S14" i="49"/>
  <c r="P56" i="49"/>
  <c r="P83" i="49" s="1"/>
  <c r="P94" i="49" s="1"/>
  <c r="P88" i="49" s="1"/>
  <c r="N131" i="49"/>
  <c r="F131" i="49" s="1"/>
  <c r="F49" i="47"/>
  <c r="G49" i="47" s="1"/>
  <c r="F125" i="49"/>
  <c r="N20" i="49"/>
  <c r="F20" i="49" s="1"/>
  <c r="F123" i="49"/>
  <c r="F117" i="49"/>
  <c r="L96" i="49"/>
  <c r="E12" i="47" s="1"/>
  <c r="E11" i="47" s="1"/>
  <c r="G102" i="49"/>
  <c r="F102" i="49" s="1"/>
  <c r="H56" i="49"/>
  <c r="I15" i="49"/>
  <c r="H15" i="49"/>
  <c r="N32" i="49"/>
  <c r="N15" i="49" s="1"/>
  <c r="O63" i="49"/>
  <c r="O56" i="49" s="1"/>
  <c r="O83" i="49" s="1"/>
  <c r="O94" i="49" s="1"/>
  <c r="V45" i="49"/>
  <c r="CM69" i="51"/>
  <c r="DE63" i="51" s="1"/>
  <c r="DE42" i="51"/>
  <c r="BW68" i="51"/>
  <c r="CM68" i="51" s="1"/>
  <c r="K17" i="49"/>
  <c r="G11" i="47"/>
  <c r="L66" i="49"/>
  <c r="K66" i="49" s="1"/>
  <c r="F129" i="49"/>
  <c r="F141" i="49"/>
  <c r="O15" i="49"/>
  <c r="I56" i="49"/>
  <c r="I83" i="49" s="1"/>
  <c r="I91" i="49" s="1"/>
  <c r="N63" i="49"/>
  <c r="N56" i="49" s="1"/>
  <c r="AB96" i="49"/>
  <c r="K96" i="49"/>
  <c r="G96" i="49" s="1"/>
  <c r="F122" i="49"/>
  <c r="F128" i="49"/>
  <c r="F140" i="49"/>
  <c r="F126" i="49" l="1"/>
  <c r="N14" i="49"/>
  <c r="S83" i="49"/>
  <c r="N135" i="49" s="1"/>
  <c r="V83" i="49"/>
  <c r="N138" i="49" s="1"/>
  <c r="N45" i="49"/>
  <c r="N7" i="49"/>
  <c r="DE173" i="51"/>
  <c r="DE175" i="51" s="1"/>
  <c r="F94" i="49"/>
  <c r="O88" i="49"/>
  <c r="O109" i="49" s="1"/>
  <c r="H83" i="49"/>
  <c r="F66" i="49"/>
  <c r="N134" i="49" l="1"/>
  <c r="F134" i="49" s="1"/>
  <c r="F135" i="49"/>
  <c r="F45" i="49"/>
  <c r="N40" i="49"/>
  <c r="F40" i="49" s="1"/>
  <c r="N137" i="49"/>
  <c r="F138" i="49"/>
  <c r="F109" i="49"/>
  <c r="O98" i="49"/>
  <c r="F13" i="48"/>
  <c r="G59" i="47"/>
  <c r="F58" i="47"/>
  <c r="F75" i="47"/>
  <c r="H91" i="49"/>
  <c r="H88" i="49" s="1"/>
  <c r="I88" i="49"/>
  <c r="E52" i="47" l="1"/>
  <c r="E50" i="47" s="1"/>
  <c r="E49" i="47" s="1"/>
  <c r="N83" i="49"/>
  <c r="N91" i="49" s="1"/>
  <c r="N88" i="49" s="1"/>
  <c r="F137" i="49"/>
  <c r="N114" i="49"/>
  <c r="G75" i="47"/>
  <c r="F70" i="47"/>
  <c r="F32" i="47" s="1"/>
  <c r="G58" i="47"/>
  <c r="F11" i="48"/>
  <c r="G11" i="48" s="1"/>
  <c r="G13" i="48"/>
  <c r="O96" i="49"/>
  <c r="E8" i="47" s="1"/>
  <c r="F98" i="49"/>
  <c r="N96" i="49" l="1"/>
  <c r="E21" i="47" s="1"/>
  <c r="E20" i="47" s="1"/>
  <c r="E7" i="47" s="1"/>
  <c r="F114" i="49"/>
  <c r="G70" i="47"/>
  <c r="F10" i="48"/>
  <c r="F96" i="49"/>
  <c r="G32" i="47"/>
  <c r="G10" i="48" l="1"/>
  <c r="F30" i="48"/>
  <c r="F5" i="48"/>
  <c r="G5" i="48" s="1"/>
  <c r="G30" i="48" l="1"/>
  <c r="F29" i="48"/>
  <c r="G29" i="48" s="1"/>
  <c r="G65" i="49" l="1"/>
  <c r="L65" i="49" l="1"/>
  <c r="F65" i="49"/>
  <c r="K65" i="49" l="1"/>
  <c r="C6" i="31" l="1"/>
  <c r="D6" i="31" s="1"/>
  <c r="CE44" i="50" l="1"/>
  <c r="G51" i="49"/>
  <c r="E6" i="31"/>
  <c r="CJ9" i="50" l="1"/>
  <c r="G11" i="49" s="1"/>
  <c r="L51" i="49"/>
  <c r="K51" i="49" s="1"/>
  <c r="F51" i="49"/>
  <c r="CE47" i="50"/>
  <c r="G50" i="49"/>
  <c r="L11" i="49" l="1"/>
  <c r="K11" i="49" s="1"/>
  <c r="F11" i="49"/>
  <c r="L50" i="49"/>
  <c r="K50" i="49" s="1"/>
  <c r="F50" i="49"/>
  <c r="E59" i="47" s="1"/>
  <c r="G29" i="49" l="1"/>
  <c r="CJ86" i="50"/>
  <c r="G60" i="49"/>
  <c r="L60" i="49" l="1"/>
  <c r="G57" i="49"/>
  <c r="F57" i="49" s="1"/>
  <c r="F60" i="49"/>
  <c r="F29" i="49"/>
  <c r="G26" i="49"/>
  <c r="F26" i="49" s="1"/>
  <c r="L29" i="49"/>
  <c r="K29" i="49" s="1"/>
  <c r="CJ66" i="50"/>
  <c r="CJ67" i="50" s="1"/>
  <c r="G19" i="49" s="1"/>
  <c r="G71" i="49"/>
  <c r="CJ108" i="50"/>
  <c r="G69" i="49" s="1"/>
  <c r="G67" i="49"/>
  <c r="K60" i="49" l="1"/>
  <c r="L57" i="49"/>
  <c r="K57" i="49" s="1"/>
  <c r="L67" i="49"/>
  <c r="K67" i="49" s="1"/>
  <c r="F67" i="49"/>
  <c r="G70" i="49"/>
  <c r="L26" i="49"/>
  <c r="K26" i="49" s="1"/>
  <c r="L71" i="49"/>
  <c r="K71" i="49" s="1"/>
  <c r="F71" i="49"/>
  <c r="L69" i="49"/>
  <c r="F69" i="49"/>
  <c r="CJ10" i="50"/>
  <c r="G13" i="49"/>
  <c r="CJ96" i="50"/>
  <c r="G34" i="49"/>
  <c r="F19" i="49"/>
  <c r="L19" i="49"/>
  <c r="CJ111" i="50"/>
  <c r="K54" i="49"/>
  <c r="G54" i="49" s="1"/>
  <c r="L48" i="49"/>
  <c r="K48" i="49" s="1"/>
  <c r="F70" i="49" l="1"/>
  <c r="L70" i="49"/>
  <c r="K70" i="49" s="1"/>
  <c r="G63" i="49"/>
  <c r="G56" i="49" s="1"/>
  <c r="K69" i="49"/>
  <c r="L13" i="49"/>
  <c r="K13" i="49" s="1"/>
  <c r="F13" i="49"/>
  <c r="E37" i="47" s="1"/>
  <c r="F34" i="49"/>
  <c r="G32" i="49"/>
  <c r="L34" i="49"/>
  <c r="K19" i="49"/>
  <c r="G9" i="49"/>
  <c r="CM24" i="50"/>
  <c r="BW32" i="50"/>
  <c r="CM32" i="50" s="1"/>
  <c r="BW29" i="50"/>
  <c r="CM29" i="50" s="1"/>
  <c r="BW35" i="50"/>
  <c r="CM35" i="50" s="1"/>
  <c r="F54" i="49"/>
  <c r="E61" i="47" s="1"/>
  <c r="E58" i="47" s="1"/>
  <c r="G48" i="49"/>
  <c r="CM36" i="50" l="1"/>
  <c r="DE111" i="50" s="1"/>
  <c r="DE118" i="50" s="1"/>
  <c r="L63" i="49"/>
  <c r="L56" i="49" s="1"/>
  <c r="F63" i="49"/>
  <c r="F56" i="49" s="1"/>
  <c r="F32" i="49"/>
  <c r="F15" i="49" s="1"/>
  <c r="G15" i="49"/>
  <c r="E13" i="48" s="1"/>
  <c r="E11" i="48" s="1"/>
  <c r="K34" i="49"/>
  <c r="L32" i="49"/>
  <c r="L9" i="49"/>
  <c r="F9" i="49"/>
  <c r="E35" i="47" s="1"/>
  <c r="F48" i="49"/>
  <c r="K63" i="49" l="1"/>
  <c r="K56" i="49" s="1"/>
  <c r="E75" i="47"/>
  <c r="E70" i="47" s="1"/>
  <c r="E10" i="48" s="1"/>
  <c r="E30" i="48" s="1"/>
  <c r="E29" i="48" s="1"/>
  <c r="K32" i="49"/>
  <c r="K15" i="49" s="1"/>
  <c r="L15" i="49"/>
  <c r="G14" i="49"/>
  <c r="K9" i="49"/>
  <c r="E5" i="48" l="1"/>
  <c r="L14" i="49"/>
  <c r="F14" i="49"/>
  <c r="E40" i="47" s="1"/>
  <c r="E39" i="47" s="1"/>
  <c r="E33" i="47" s="1"/>
  <c r="E32" i="47" s="1"/>
  <c r="G7" i="49"/>
  <c r="F7" i="49" l="1"/>
  <c r="G83" i="49"/>
  <c r="K14" i="49"/>
  <c r="L7" i="49"/>
  <c r="F83" i="49" l="1"/>
  <c r="K7" i="49"/>
  <c r="L83" i="49"/>
  <c r="L91" i="49" l="1"/>
  <c r="L88" i="49" s="1"/>
  <c r="K83" i="49"/>
  <c r="K91" i="49" s="1"/>
  <c r="G91" i="49" s="1"/>
  <c r="K88" i="49" l="1"/>
  <c r="G88" i="49" l="1"/>
  <c r="F91" i="49"/>
  <c r="F88" i="49" s="1"/>
</calcChain>
</file>

<file path=xl/comments1.xml><?xml version="1.0" encoding="utf-8"?>
<comments xmlns="http://schemas.openxmlformats.org/spreadsheetml/2006/main">
  <authors>
    <author>Автор</author>
  </authors>
  <commentList>
    <comment ref="S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530
</t>
        </r>
      </text>
    </comment>
    <comment ref="S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532</t>
        </r>
      </text>
    </comment>
    <comment ref="S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535</t>
        </r>
      </text>
    </comment>
    <comment ref="S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536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сад + школа
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сад + школа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 и более
</t>
        </r>
      </text>
    </comment>
  </commentList>
</comments>
</file>

<file path=xl/sharedStrings.xml><?xml version="1.0" encoding="utf-8"?>
<sst xmlns="http://schemas.openxmlformats.org/spreadsheetml/2006/main" count="1976" uniqueCount="1060">
  <si>
    <t>Наименование</t>
  </si>
  <si>
    <t>Цена</t>
  </si>
  <si>
    <t>Количество</t>
  </si>
  <si>
    <t>Проект 2021 год</t>
  </si>
  <si>
    <t>Итого</t>
  </si>
  <si>
    <t>Проект 2022 год</t>
  </si>
  <si>
    <r>
      <rPr>
        <b/>
        <sz val="11"/>
        <color theme="1"/>
        <rFont val="Times New Roman"/>
        <family val="1"/>
        <charset val="204"/>
      </rPr>
      <t>КОСГУ 341/510</t>
    </r>
    <r>
      <rPr>
        <sz val="11"/>
        <color theme="1"/>
        <rFont val="Times New Roman"/>
        <family val="1"/>
        <charset val="204"/>
      </rPr>
      <t xml:space="preserve"> Лекарственные препараты и материалы, применяемые в медицинских целях</t>
    </r>
  </si>
  <si>
    <r>
      <rPr>
        <b/>
        <sz val="11"/>
        <color theme="1"/>
        <rFont val="Times New Roman"/>
        <family val="1"/>
        <charset val="204"/>
      </rPr>
      <t>КОСГУ 345/520</t>
    </r>
    <r>
      <rPr>
        <sz val="11"/>
        <color theme="1"/>
        <rFont val="Times New Roman"/>
        <family val="1"/>
        <charset val="204"/>
      </rPr>
      <t xml:space="preserve"> Мягкий инвентарь</t>
    </r>
  </si>
  <si>
    <t>Приобретение материальных запасов</t>
  </si>
  <si>
    <t xml:space="preserve">Приобретение материальных запасов </t>
  </si>
  <si>
    <t>Приобретение основных средств</t>
  </si>
  <si>
    <r>
      <rPr>
        <b/>
        <sz val="11"/>
        <color theme="1"/>
        <rFont val="Times New Roman"/>
        <family val="1"/>
        <charset val="204"/>
      </rPr>
      <t>КОСГУ 346/550</t>
    </r>
    <r>
      <rPr>
        <sz val="11"/>
        <color theme="1"/>
        <rFont val="Times New Roman"/>
        <family val="1"/>
        <charset val="204"/>
      </rPr>
      <t xml:space="preserve"> Прочие материальные запасы (рабочие тетради, методическая литература, канцелярские товары, бумага, картриджи, моющие, чистящие, игрушки, средства для мытья посуды, посуда, туалет. Бумага, хозяйственные товары (лампочки, совки, веник …) и т.д.</t>
    </r>
  </si>
  <si>
    <t>Приобретение учебной литературы</t>
  </si>
  <si>
    <t>КОСГУ 310/045</t>
  </si>
  <si>
    <t xml:space="preserve"> Расходы на оплату стоимости проезда и провоза багажа к месту использования отпуска и обратно</t>
  </si>
  <si>
    <t>№ п/п</t>
  </si>
  <si>
    <t xml:space="preserve">Ф.И.О.  </t>
  </si>
  <si>
    <t>Должность</t>
  </si>
  <si>
    <t>Предполагаемый маршрут следования</t>
  </si>
  <si>
    <t>2020 год</t>
  </si>
  <si>
    <t>2021 год</t>
  </si>
  <si>
    <t>Численность работающих имеющих право на оплату проезда</t>
  </si>
  <si>
    <t xml:space="preserve">Предполагаемая стоимость проезда </t>
  </si>
  <si>
    <t>Члены семьи</t>
  </si>
  <si>
    <t>Итого чел. к-м предполагается компенсировать проезд</t>
  </si>
  <si>
    <t>Всего сумма расходов на 2020 г.</t>
  </si>
  <si>
    <t>Всего сумма расходов на 2021 г.</t>
  </si>
  <si>
    <t>Неработающий муж (жена), дети старше 12 лет</t>
  </si>
  <si>
    <t>Предполагаемая стоимость проезда ( муж (жена), дети старше 12 лет)</t>
  </si>
  <si>
    <t>Дети до 12 лет</t>
  </si>
  <si>
    <t>Предполагаемая стоимость проезда на 1 чел.</t>
  </si>
  <si>
    <t>2022 год</t>
  </si>
  <si>
    <t>Всего сумма расходов на 2022 г.</t>
  </si>
  <si>
    <r>
      <t xml:space="preserve">Приобретение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строительных материалов</t>
    </r>
  </si>
  <si>
    <r>
      <t xml:space="preserve">КОСГУ 344/550 </t>
    </r>
    <r>
      <rPr>
        <sz val="11"/>
        <color theme="1"/>
        <rFont val="Times New Roman"/>
        <family val="1"/>
        <charset val="204"/>
      </rPr>
      <t>Строительные материалы</t>
    </r>
  </si>
  <si>
    <t>Расчет затрат на текущий и капитальный ремонт</t>
  </si>
  <si>
    <t>Сумма</t>
  </si>
  <si>
    <t>ВСЕГО</t>
  </si>
  <si>
    <t>Расходы на прочие услуги</t>
  </si>
  <si>
    <r>
      <rPr>
        <b/>
        <sz val="11"/>
        <color theme="1"/>
        <rFont val="Times New Roman"/>
        <family val="1"/>
        <charset val="204"/>
      </rPr>
      <t>КОСГУ 226/046</t>
    </r>
    <r>
      <rPr>
        <sz val="11"/>
        <color theme="1"/>
        <rFont val="Times New Roman"/>
        <family val="1"/>
        <charset val="204"/>
      </rPr>
      <t xml:space="preserve"> </t>
    </r>
  </si>
  <si>
    <t>Транспортные услуги</t>
  </si>
  <si>
    <r>
      <rPr>
        <b/>
        <sz val="11"/>
        <color theme="1"/>
        <rFont val="Times New Roman"/>
        <family val="1"/>
        <charset val="204"/>
      </rPr>
      <t>КОСГУ 222/500</t>
    </r>
    <r>
      <rPr>
        <sz val="11"/>
        <color theme="1"/>
        <rFont val="Times New Roman"/>
        <family val="1"/>
        <charset val="204"/>
      </rPr>
      <t xml:space="preserve"> </t>
    </r>
  </si>
  <si>
    <t>год</t>
  </si>
  <si>
    <t>Терапевт</t>
  </si>
  <si>
    <t>Невролог</t>
  </si>
  <si>
    <t>Заполнение формы</t>
  </si>
  <si>
    <t>Лор</t>
  </si>
  <si>
    <t>Хирург</t>
  </si>
  <si>
    <t>Окулист</t>
  </si>
  <si>
    <t>Дерматолог</t>
  </si>
  <si>
    <t>Гинеколог</t>
  </si>
  <si>
    <t>Стоматолог</t>
  </si>
  <si>
    <t>ЭКГ</t>
  </si>
  <si>
    <t>RW</t>
  </si>
  <si>
    <t>Анализы крови и спирография</t>
  </si>
  <si>
    <t>Анализ мочи</t>
  </si>
  <si>
    <t>Психиатр</t>
  </si>
  <si>
    <t>Нарколог</t>
  </si>
  <si>
    <t>кол-во работников</t>
  </si>
  <si>
    <t>цена</t>
  </si>
  <si>
    <t>сумма,руб.</t>
  </si>
  <si>
    <t>кол-во работников (женщины)</t>
  </si>
  <si>
    <t xml:space="preserve">кол-во работников </t>
  </si>
  <si>
    <t>ед.изм.</t>
  </si>
  <si>
    <t>кол-во</t>
  </si>
  <si>
    <t xml:space="preserve"> </t>
  </si>
  <si>
    <t xml:space="preserve">Количество работников, направляемых на повышение квалификации 
</t>
  </si>
  <si>
    <t>Суточные</t>
  </si>
  <si>
    <t>Возмещение стоимости проезда</t>
  </si>
  <si>
    <t>Возмещение стоимости проживания</t>
  </si>
  <si>
    <t>Расходы на курсовую подготовку</t>
  </si>
  <si>
    <t>Итого сумма, рублей</t>
  </si>
  <si>
    <t>Количество дней
командировки</t>
  </si>
  <si>
    <t>размер суточных</t>
  </si>
  <si>
    <t>сумма, рублей</t>
  </si>
  <si>
    <t>стоимость проезда в одном направлении в ценах текущего финансового года</t>
  </si>
  <si>
    <t>количество дней прожи-вания</t>
  </si>
  <si>
    <t>Цель курсов, должность работника</t>
  </si>
  <si>
    <t>Расходы на повышение квалификации работников 2020 год</t>
  </si>
  <si>
    <t>Цель командировки</t>
  </si>
  <si>
    <t>Место командировки</t>
  </si>
  <si>
    <t>Количество 
командировок</t>
  </si>
  <si>
    <t>Командировочные расходы 2020 год</t>
  </si>
  <si>
    <r>
      <rPr>
        <b/>
        <sz val="11"/>
        <color theme="1"/>
        <rFont val="Times New Roman"/>
        <family val="1"/>
        <charset val="204"/>
      </rPr>
      <t>КОСГУ 225/770</t>
    </r>
    <r>
      <rPr>
        <sz val="11"/>
        <color theme="1"/>
        <rFont val="Times New Roman"/>
        <family val="1"/>
        <charset val="204"/>
      </rPr>
      <t xml:space="preserve"> </t>
    </r>
  </si>
  <si>
    <t>Ед.изм</t>
  </si>
  <si>
    <t>Ед. изм</t>
  </si>
  <si>
    <t>Измерение сопротивления электропроводов, контурного заземления (в сроки установленные нормативными документами)</t>
  </si>
  <si>
    <t>Прочие расходы на содержание имущества</t>
  </si>
  <si>
    <t>Расчет затрат на оплату технического обслуживания</t>
  </si>
  <si>
    <t>Техническое обслуживание сети водоснабжения</t>
  </si>
  <si>
    <t xml:space="preserve">Техническое обслуживание внутренних систем канализации </t>
  </si>
  <si>
    <t>Расчет выплаты специалистам, работающим и проживающим в сельских населённых пунктах Ненецкого автономного округа</t>
  </si>
  <si>
    <t>Наём жилья</t>
  </si>
  <si>
    <t>Компенсация затрат на коммунальные услуги</t>
  </si>
  <si>
    <t>Контингент *</t>
  </si>
  <si>
    <t>Норматив на 1 специалиста</t>
  </si>
  <si>
    <t>Сумма (рублей)</t>
  </si>
  <si>
    <t>Контингент **</t>
  </si>
  <si>
    <t>Норматив на 1 специалиста 1 квартал</t>
  </si>
  <si>
    <t>Расчет затрат на оплату услуг связи</t>
  </si>
  <si>
    <t>Телефонная связь (абонентская плата)</t>
  </si>
  <si>
    <t>Междугородние переговоры</t>
  </si>
  <si>
    <t>Внутризоновые соединения</t>
  </si>
  <si>
    <t>Местные содинения</t>
  </si>
  <si>
    <t xml:space="preserve">Марки, конверты - сумма в год </t>
  </si>
  <si>
    <t>Интернет</t>
  </si>
  <si>
    <t>Итого сумма (рублей)</t>
  </si>
  <si>
    <t>Кол-во</t>
  </si>
  <si>
    <t>*</t>
  </si>
  <si>
    <t>Рассчитывается исходя из коммерческих предложений</t>
  </si>
  <si>
    <t>Сумма на продукты питания</t>
  </si>
  <si>
    <t xml:space="preserve">Стоимость дето-дня* </t>
  </si>
  <si>
    <t xml:space="preserve">Плановое количество дней работы учреждения в год </t>
  </si>
  <si>
    <t>Плановое количество дето-дней в году</t>
  </si>
  <si>
    <t>Сумма расходов на проезд к месту учебы и обратно, рублей</t>
  </si>
  <si>
    <t>Наименование должности обучающегося</t>
  </si>
  <si>
    <t>Место обучения</t>
  </si>
  <si>
    <t>Расчет  компенсации расходов по проезду к месту учебы и обратно работникам учреждений, успешно обучающимся в  высших и средних профессиональных образовательных организациях с отрывом и без отрыва от исполнения обязанностей по месту работы</t>
  </si>
  <si>
    <t>кв</t>
  </si>
  <si>
    <t>Расходы на обслуживание пожарной сигнализации</t>
  </si>
  <si>
    <t>Обслуживание пожарной сигнализации                              КОСГУ 225/055</t>
  </si>
  <si>
    <t>Расчет затрат на оплату земельного налога</t>
  </si>
  <si>
    <t>Налоговая ставка</t>
  </si>
  <si>
    <t>Сумма налога 2020 год</t>
  </si>
  <si>
    <t>Сумма налога 2021 год</t>
  </si>
  <si>
    <t>итого</t>
  </si>
  <si>
    <t>Расчет затрат на оплату налога на имущество</t>
  </si>
  <si>
    <t>Сумма налога 2022 год</t>
  </si>
  <si>
    <t>Наименование земельного участка</t>
  </si>
  <si>
    <t>Кадастровая стоимость земельного участка</t>
  </si>
  <si>
    <t>Остаточная стоимость основных средств, признаваемых объектом налогообложения на 01.04.2019</t>
  </si>
  <si>
    <t>Расходы на коммунальные услуги</t>
  </si>
  <si>
    <t>кВт.час</t>
  </si>
  <si>
    <t>Гкалл</t>
  </si>
  <si>
    <t>час</t>
  </si>
  <si>
    <t>Работы по промывке, испытаниям на плотность и прочность системы отопления</t>
  </si>
  <si>
    <t>225/770</t>
  </si>
  <si>
    <t>226/046</t>
  </si>
  <si>
    <t>214/831</t>
  </si>
  <si>
    <t>223/721</t>
  </si>
  <si>
    <t>223/730</t>
  </si>
  <si>
    <t>223/740</t>
  </si>
  <si>
    <t>Вывоз жидких бытовых отходов 223/740</t>
  </si>
  <si>
    <t>Итого 223/721</t>
  </si>
  <si>
    <t>Итого 223/740</t>
  </si>
  <si>
    <t>Всего 223</t>
  </si>
  <si>
    <t>225/912</t>
  </si>
  <si>
    <t>344/550</t>
  </si>
  <si>
    <t>310/045</t>
  </si>
  <si>
    <t>310/914</t>
  </si>
  <si>
    <t>ИТОГО</t>
  </si>
  <si>
    <t>Расчет затрат на обеспечение продуктами питания  школьников (школьные завтраки) на 2019 год</t>
  </si>
  <si>
    <t>Плановое количество школьников</t>
  </si>
  <si>
    <t>Дети с ограниченными возможностями здоровья</t>
  </si>
  <si>
    <t>Дети-сироты и дети из малообеспеченных семей</t>
  </si>
  <si>
    <t xml:space="preserve">Обучающиеся, проживающие в образовательных организациях, имеющих интернат
</t>
  </si>
  <si>
    <t>Районный коэффициент</t>
  </si>
  <si>
    <t>Материальная помощь к отпуску</t>
  </si>
  <si>
    <t>Руководители</t>
  </si>
  <si>
    <t>Заработная плата</t>
  </si>
  <si>
    <t>214/501</t>
  </si>
  <si>
    <t>Наименование учреждения</t>
  </si>
  <si>
    <t>Размер вознаграждения в месяц</t>
  </si>
  <si>
    <t>Кол-во месяцев в году</t>
  </si>
  <si>
    <t>Итого расходы КОСГУ 211</t>
  </si>
  <si>
    <t xml:space="preserve">коэффициент отчислений в государственные внебюджетные фонды страховых взносов на обязательное социальное страхование
</t>
  </si>
  <si>
    <t>Итого расходы КОСГУ 213</t>
  </si>
  <si>
    <t xml:space="preserve">районный коэффициент к заработной плате
</t>
  </si>
  <si>
    <t xml:space="preserve">процентная надбавка к заработной плате за работу в районах Крайнего Севера
</t>
  </si>
  <si>
    <t>Всего с учетом РК и надб. за стаж работы в РКС</t>
  </si>
  <si>
    <t>Кол-во классов</t>
  </si>
  <si>
    <t>Наполяемость детей в классе</t>
  </si>
  <si>
    <t>Установленный размер вознаграждения</t>
  </si>
  <si>
    <t>Нормативная наполняемость класса</t>
  </si>
  <si>
    <t>Сумма вознаграждения</t>
  </si>
  <si>
    <t>Вознаграждение за классное руководство</t>
  </si>
  <si>
    <t>№ 
п/п</t>
  </si>
  <si>
    <t>Прочие услуги</t>
  </si>
  <si>
    <t>225/055</t>
  </si>
  <si>
    <t>226/049</t>
  </si>
  <si>
    <t>КОСГУ</t>
  </si>
  <si>
    <t>Земельный налог</t>
  </si>
  <si>
    <t>Налог на имущество</t>
  </si>
  <si>
    <t>341/510</t>
  </si>
  <si>
    <t>343/540</t>
  </si>
  <si>
    <t>ГСМ</t>
  </si>
  <si>
    <t>345/520</t>
  </si>
  <si>
    <t>346/550</t>
  </si>
  <si>
    <t>349/845</t>
  </si>
  <si>
    <t>по ОКПО</t>
  </si>
  <si>
    <t>(наименование учреждения)</t>
  </si>
  <si>
    <t>%</t>
  </si>
  <si>
    <t>Директор</t>
  </si>
  <si>
    <t>Социальный педагог</t>
  </si>
  <si>
    <t>(должность)</t>
  </si>
  <si>
    <t xml:space="preserve">Расходы на медосмотры </t>
  </si>
  <si>
    <r>
      <rPr>
        <b/>
        <sz val="11"/>
        <color theme="1"/>
        <rFont val="Times New Roman"/>
        <family val="1"/>
        <charset val="204"/>
      </rPr>
      <t>КОСГУ 349/845</t>
    </r>
    <r>
      <rPr>
        <sz val="11"/>
        <color theme="1"/>
        <rFont val="Times New Roman"/>
        <family val="1"/>
        <charset val="204"/>
      </rPr>
      <t xml:space="preserve"> Прочие материальные запасы однократного применения (подарки, суверниры, грамоты, благодарственные письма, цветы)</t>
    </r>
  </si>
  <si>
    <r>
      <rPr>
        <b/>
        <sz val="11"/>
        <color theme="1"/>
        <rFont val="Times New Roman"/>
        <family val="1"/>
        <charset val="204"/>
      </rPr>
      <t>КОСГУ 349/845</t>
    </r>
    <r>
      <rPr>
        <sz val="11"/>
        <color theme="1"/>
        <rFont val="Times New Roman"/>
        <family val="1"/>
        <charset val="204"/>
      </rPr>
      <t xml:space="preserve"> Прочие материальные запасы однократного применения (бланки строгой отчетности (труд. книжка и вкладыш в нее, аттестаты), приобретение бутилированной питьевой воды, если у организации отсутствует система централизованного питьевого водоснабжения, либо органом санитарно-эпидемиологического надзора или лабораторией организации, эксплуатирующей системы водоснабжения, выдано заключение о признании воды несоответствующей санитарным нормам</t>
    </r>
  </si>
  <si>
    <t>КОСГУ 310/914</t>
  </si>
  <si>
    <t>оплата услуг канализации, ассенизации 223/740</t>
  </si>
  <si>
    <t>Итого 223/730</t>
  </si>
  <si>
    <t>Утверждено:</t>
  </si>
  <si>
    <t xml:space="preserve">                             ______________________________________________</t>
  </si>
  <si>
    <t>(наименование должности уполномоченного лица)</t>
  </si>
  <si>
    <t>(наименование органа-учредителя (учреждения)</t>
  </si>
  <si>
    <t xml:space="preserve">                               ________________  _____________________________</t>
  </si>
  <si>
    <t xml:space="preserve">                                                             (подпись)                                         (расшифровка подписи)</t>
  </si>
  <si>
    <t xml:space="preserve">                             "__" ___________ 20__ г.</t>
  </si>
  <si>
    <t>ПЛАН ФИНАНСОВО-ХОЗЯЙСТВЕННОЙ ДЕЯТЕЛЬНОСТИ</t>
  </si>
  <si>
    <t>КОДЫ</t>
  </si>
  <si>
    <t>Форма по КФД</t>
  </si>
  <si>
    <t>(наименование государственного бюджетного учреждения)</t>
  </si>
  <si>
    <t>ИНН/КПП</t>
  </si>
  <si>
    <t>Единица измерения: руб.</t>
  </si>
  <si>
    <t>по ОКЕИ</t>
  </si>
  <si>
    <t>383</t>
  </si>
  <si>
    <t>Департамент образования, культуры и спорта Ненецкого автономного округа</t>
  </si>
  <si>
    <t>(наименование органа, осуществляющего функции и полмочия учредителя)</t>
  </si>
  <si>
    <t>(адрес фактического местонахождения государственного бюджетного учреждения)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</si>
  <si>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</si>
  <si>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</si>
  <si>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Обеспечение общедоступного и бесплатного общего образования</t>
  </si>
  <si>
    <t>1.2. Виды деятельности государственного бюджетного учреждения (подразделения):</t>
  </si>
  <si>
    <t>1.3. Перечень услуг (работ), осуществляемых на платной основе: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</si>
  <si>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</si>
  <si>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</si>
  <si>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</si>
  <si>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&lt;3&gt;</t>
  </si>
  <si>
    <t>Аналитический код &lt;4&gt;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</si>
  <si>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</si>
  <si>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</si>
  <si>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</si>
  <si>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за пределами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</si>
  <si>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</si>
  <si>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</si>
  <si>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</si>
  <si>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</si>
  <si>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</si>
  <si>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</si>
  <si>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</si>
  <si>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</si>
  <si>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</si>
  <si>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</si>
  <si>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</si>
  <si>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</si>
  <si>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</si>
  <si>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</si>
  <si>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</si>
  <si>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</si>
  <si>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</si>
  <si>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</si>
  <si>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</si>
  <si>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</si>
  <si>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</si>
  <si>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</si>
  <si>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</si>
  <si>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</si>
  <si>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</si>
  <si>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</si>
  <si>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</si>
  <si>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</si>
  <si>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</si>
  <si>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</si>
  <si>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</si>
  <si>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</si>
  <si>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</si>
  <si>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</si>
  <si>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</si>
  <si>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</si>
  <si>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</si>
  <si>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</si>
  <si>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</si>
  <si>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</si>
  <si>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</si>
  <si>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</si>
  <si>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</si>
  <si>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</si>
  <si>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</si>
  <si>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</si>
  <si>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</si>
  <si>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</si>
  <si>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</si>
  <si>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</si>
  <si>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имущества</t>
  </si>
  <si>
    <t>прочую закупку товаров, работ и услуг, всего</t>
  </si>
  <si>
    <t>капитальные вложения в объекты государственной собственности, всего</t>
  </si>
  <si>
    <t>приобретение объектов недвижимого имущества государственными учреждениями</t>
  </si>
  <si>
    <t>строительство (реконструкция) объектов недвижимого имущества государственными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</si>
  <si>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</si>
  <si>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</si>
  <si>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</si>
  <si>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</si>
  <si>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</si>
  <si>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</si>
  <si>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(наименование должности руководителя)</t>
  </si>
  <si>
    <t>(подпись)</t>
  </si>
  <si>
    <t>(расшифровка подписи)</t>
  </si>
  <si>
    <t xml:space="preserve">     </t>
  </si>
  <si>
    <t xml:space="preserve">Главный бухгалтер     </t>
  </si>
  <si>
    <t>В штате не предусмотрен</t>
  </si>
  <si>
    <t>Исполнитель</t>
  </si>
  <si>
    <t>"___" _____________ 20__ г.</t>
  </si>
  <si>
    <t>Раздел 2. Сведения по выплатам на закупки товаров, работ, услуг</t>
  </si>
  <si>
    <t>N п/п</t>
  </si>
  <si>
    <t>Коды строк</t>
  </si>
  <si>
    <t>Год начала закупки</t>
  </si>
  <si>
    <t>на 2020 г. (текущий финансовый год)</t>
  </si>
  <si>
    <t>на 2021 г. 
(первый год планового периода)</t>
  </si>
  <si>
    <t>на 2022 г. 
(второй год планового периода)</t>
  </si>
  <si>
    <t>Выплаты на закупку товаров, работ, услуг, всего &lt;11&gt;</t>
  </si>
  <si>
    <t>1.1.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</si>
  <si>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  </r>
    <r>
      <rPr>
        <sz val="11"/>
        <color indexed="12"/>
        <rFont val="Times New Roman"/>
        <family val="1"/>
        <charset val="204"/>
      </rPr>
      <t>&lt;12&gt;</t>
    </r>
  </si>
  <si>
    <t>1.2.</t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</si>
  <si>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44-ФЗ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&lt;12&gt;</t>
    </r>
  </si>
  <si>
    <t>1.3.</t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</si>
  <si>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44-ФЗ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&lt;13&gt;</t>
    </r>
  </si>
  <si>
    <t>1.4.</t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</si>
  <si>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44-ФЗ и Федерального </t>
    </r>
    <r>
      <rPr>
        <sz val="11"/>
        <color indexed="12"/>
        <rFont val="Times New Roman"/>
        <family val="1"/>
        <charset val="204"/>
      </rPr>
      <t>закона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&lt;13&gt;</t>
    </r>
  </si>
  <si>
    <t>1.4.1.</t>
  </si>
  <si>
    <t>за счет субсидий, предоставляемых на финансовое обеспечение выполнения государственного задания</t>
  </si>
  <si>
    <t>1.4.1.1.</t>
  </si>
  <si>
    <t>в соответствии с Федеральным законом N 44-ФЗ</t>
  </si>
  <si>
    <t>1.4.1.2.</t>
  </si>
  <si>
    <r>
      <t xml:space="preserve">в соответствии с Федеральным </t>
    </r>
    <r>
      <rPr>
        <sz val="11"/>
        <color indexed="12"/>
        <rFont val="Times New Roman"/>
        <family val="1"/>
        <charset val="204"/>
      </rPr>
      <t>законом</t>
    </r>
    <r>
      <rPr>
        <sz val="11"/>
        <rFont val="Times New Roman"/>
        <family val="1"/>
        <charset val="204"/>
      </rPr>
      <t xml:space="preserve"> N 223-ФЗ </t>
    </r>
    <r>
      <rPr>
        <sz val="11"/>
        <color indexed="12"/>
        <rFont val="Times New Roman"/>
        <family val="1"/>
        <charset val="204"/>
      </rPr>
      <t>&lt;14&gt;</t>
    </r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</si>
  <si>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</si>
  <si>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</si>
  <si>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</si>
  <si>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</si>
  <si>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</si>
  <si>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 &lt;15&gt;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</si>
  <si>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</si>
  <si>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</si>
  <si>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</si>
  <si>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</si>
  <si>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</si>
  <si>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</si>
  <si>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</si>
  <si>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</si>
  <si>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</si>
  <si>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color indexed="12"/>
        <rFont val="Times New Roman"/>
        <family val="1"/>
        <charset val="204"/>
      </rPr>
      <t>законом</t>
    </r>
    <r>
      <rPr>
        <sz val="11"/>
        <rFont val="Times New Roman"/>
        <family val="1"/>
        <charset val="204"/>
      </rPr>
      <t xml:space="preserve"> N 44-ФЗ, по соответствующему году закупки </t>
    </r>
    <r>
      <rPr>
        <sz val="11"/>
        <color indexed="12"/>
        <rFont val="Times New Roman"/>
        <family val="1"/>
        <charset val="204"/>
      </rPr>
      <t>&lt;16&gt;</t>
    </r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</si>
  <si>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</si>
  <si>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</si>
  <si>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Руководитель учреждения (уполномоченное лицо учреждения)</t>
  </si>
  <si>
    <t xml:space="preserve">Исполнитель </t>
  </si>
  <si>
    <t xml:space="preserve">  (фамилия, инициалы)</t>
  </si>
  <si>
    <t xml:space="preserve"> (телефон)</t>
  </si>
  <si>
    <t>"____" __________ 20__ г.</t>
  </si>
  <si>
    <t>СОГЛАСОВАНО</t>
  </si>
  <si>
    <t>(наименование должности уполномоченного лица органа-учредителя)</t>
  </si>
  <si>
    <t xml:space="preserve">"_____"___________ </t>
  </si>
  <si>
    <t>20_____ г.</t>
  </si>
  <si>
    <t>Раздел 3. Свод затрат по мероприятиям</t>
  </si>
  <si>
    <t>л</t>
  </si>
  <si>
    <t>Код по бюджетной классификации Российской Федерации</t>
  </si>
  <si>
    <t>Всего по учреждению</t>
  </si>
  <si>
    <t>всего</t>
  </si>
  <si>
    <t>в том числе</t>
  </si>
  <si>
    <t>на выполнение государственного задания, всего</t>
  </si>
  <si>
    <t>остаток субсидии предыдущего года на выполнение государственного задания</t>
  </si>
  <si>
    <t>на выполнение государственного задания</t>
  </si>
  <si>
    <t>иные субсидии</t>
  </si>
  <si>
    <t>на выполнение услуг по иной, приносящей доход деятельности</t>
  </si>
  <si>
    <t>безвозмездные поступления</t>
  </si>
  <si>
    <t>на оказание услуг</t>
  </si>
  <si>
    <t>на выполнение работ</t>
  </si>
  <si>
    <t>7С470</t>
  </si>
  <si>
    <t>7С560</t>
  </si>
  <si>
    <t>7А060</t>
  </si>
  <si>
    <t>вн/бюджет</t>
  </si>
  <si>
    <t>вн/бюджет питание</t>
  </si>
  <si>
    <t>1.</t>
  </si>
  <si>
    <t>Выплаты персоналу, всего</t>
  </si>
  <si>
    <t>3 дня пособия нетрудоспособ  за счет работодателя</t>
  </si>
  <si>
    <t>Оплата проезда к месту нахождения учебного заведен</t>
  </si>
  <si>
    <t>Льготный проезд</t>
  </si>
  <si>
    <t>Командировочные расходы</t>
  </si>
  <si>
    <t>Начисления на выплаты по оплате труда</t>
  </si>
  <si>
    <t>2.</t>
  </si>
  <si>
    <t>Расходы на закупку товаров, работ, услуг, всего</t>
  </si>
  <si>
    <t>Услуги связи, всего</t>
  </si>
  <si>
    <t>из них</t>
  </si>
  <si>
    <t>Коммунальные услуги, всего</t>
  </si>
  <si>
    <t>тепло</t>
  </si>
  <si>
    <t>электро</t>
  </si>
  <si>
    <t>водо</t>
  </si>
  <si>
    <t>Арендная плата за пользование имуществом</t>
  </si>
  <si>
    <t>Работы, услуги по содержанию имущества, всего</t>
  </si>
  <si>
    <t>пожарка</t>
  </si>
  <si>
    <t>содержание имущества</t>
  </si>
  <si>
    <t>ремонт</t>
  </si>
  <si>
    <t>Капитальный ремонт</t>
  </si>
  <si>
    <t>Прочие работы, услуги, всего</t>
  </si>
  <si>
    <t>курсы</t>
  </si>
  <si>
    <t>Услуги, работы для целей капитальных вложений</t>
  </si>
  <si>
    <t>3.</t>
  </si>
  <si>
    <t>Безвозмездные перечисления организациям</t>
  </si>
  <si>
    <t>безвозмездные перечисления государственным организациям</t>
  </si>
  <si>
    <t>4.</t>
  </si>
  <si>
    <t>Социальные и иные выплаты, всего</t>
  </si>
  <si>
    <t>пособия по социальной помощи</t>
  </si>
  <si>
    <t>Другие пособия и выплаты</t>
  </si>
  <si>
    <t>262/836</t>
  </si>
  <si>
    <t>выплаты по сокращению</t>
  </si>
  <si>
    <t>262/838</t>
  </si>
  <si>
    <t>денежные поощрения отличникам</t>
  </si>
  <si>
    <t>262/844</t>
  </si>
  <si>
    <t>Выплаты специалистам, работающим и проживающим в сельских населённых пунктах Ненецкого автономного округа</t>
  </si>
  <si>
    <t>263/840</t>
  </si>
  <si>
    <t>пенсии, пособия, выплачиваемые организациями сектора государственного управления</t>
  </si>
  <si>
    <t>5.</t>
  </si>
  <si>
    <t>Уплата налогов, сборов и иных платежей, всего</t>
  </si>
  <si>
    <t>291/851</t>
  </si>
  <si>
    <t>291/851.1</t>
  </si>
  <si>
    <t>прочие расходы (кроме расходов на закупку товаров, работ, услуг), всего</t>
  </si>
  <si>
    <t>Госпошлина</t>
  </si>
  <si>
    <t>292/852</t>
  </si>
  <si>
    <t>Штрафы. Пени</t>
  </si>
  <si>
    <t>292,293,295/853</t>
  </si>
  <si>
    <t>6.</t>
  </si>
  <si>
    <t>Поступление нефинансовых активов, всего</t>
  </si>
  <si>
    <t>увеличение стоимости основных средств</t>
  </si>
  <si>
    <t>приобретение учебников для общеобразовательных учр</t>
  </si>
  <si>
    <t>прочие основные средства</t>
  </si>
  <si>
    <t>увеличение стоимости нематериальных активов</t>
  </si>
  <si>
    <t>увеличение стоимости непроизводственных активов</t>
  </si>
  <si>
    <t>увеличение стоимости материальных запасов, всего</t>
  </si>
  <si>
    <t>медикаменты и перевязочный материал</t>
  </si>
  <si>
    <t>продукты питания</t>
  </si>
  <si>
    <t>342/530,532,535,536</t>
  </si>
  <si>
    <t>строительный материал</t>
  </si>
  <si>
    <t>мягкий инвентарь</t>
  </si>
  <si>
    <t>прочий материальный запас</t>
  </si>
  <si>
    <t>прочий МЗ однократного применения (сувенирка, вода)</t>
  </si>
  <si>
    <t>7.</t>
  </si>
  <si>
    <t>Поступление финансовых активов, всего</t>
  </si>
  <si>
    <t>Из них: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</si>
  <si>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</si>
  <si>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</si>
  <si>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8.</t>
  </si>
  <si>
    <t>Выбытие финансовых активов, всего</t>
  </si>
  <si>
    <t>уменьшение остатков средств</t>
  </si>
  <si>
    <t>прочие выбытия</t>
  </si>
  <si>
    <t>Транспортный участок (водители)</t>
  </si>
  <si>
    <t>Транспортный участок (Техобслуживание и тех. ремонт транспорта)</t>
  </si>
  <si>
    <t>9.</t>
  </si>
  <si>
    <t>ИТОГО РАСХОДОВ</t>
  </si>
  <si>
    <t>10.</t>
  </si>
  <si>
    <t>Распределяемые расходы, всего</t>
  </si>
  <si>
    <t>Общепроизводственные расходы</t>
  </si>
  <si>
    <t>Общехозяйственные расходы</t>
  </si>
  <si>
    <t>11.</t>
  </si>
  <si>
    <t>ВСЕГО РАСХОДОВ</t>
  </si>
  <si>
    <t>за счет федерального бюджета</t>
  </si>
  <si>
    <t>за счет окружного бюджета</t>
  </si>
  <si>
    <t>за счет городского бюджета</t>
  </si>
  <si>
    <t>за счет дорожного фонда</t>
  </si>
  <si>
    <t>за счет приносящей доход деятельности</t>
  </si>
  <si>
    <t>за счет безвозмездных поступлений</t>
  </si>
  <si>
    <t>12.</t>
  </si>
  <si>
    <t>Поступления от доходов, всего</t>
  </si>
  <si>
    <t>12.1.</t>
  </si>
  <si>
    <t>Доходы от оказания услуг, работ, компенсации затрат учреждений, всего, в том числе</t>
  </si>
  <si>
    <t>Субсидии на финансовое обеспечение выполнения государственного задания, всего</t>
  </si>
  <si>
    <t>из федерального бюджета</t>
  </si>
  <si>
    <t>из окружного бюджета</t>
  </si>
  <si>
    <t>из городского бюджета</t>
  </si>
  <si>
    <t>субсидии, предоставляемые в соответствии с абзацем вторым пункта 1 статьи 78.1 Бюджетного кодекса РФ</t>
  </si>
  <si>
    <t>из бюджета Федерального фонда обязательного медицинского страхования</t>
  </si>
  <si>
    <t>средства обязательного медицинского страхования</t>
  </si>
  <si>
    <t>из средств дорожного фонда</t>
  </si>
  <si>
    <t>Средства от приносящей доход деятельности, в том числе</t>
  </si>
  <si>
    <t>12.2.</t>
  </si>
  <si>
    <t>Доходы от штрафов, пеней, иных сумм принудительного изъятия, всего</t>
  </si>
  <si>
    <t>12.3.</t>
  </si>
  <si>
    <t>Безвозмездные денежные поступления, всего</t>
  </si>
  <si>
    <t>12.4.</t>
  </si>
  <si>
    <t>Прочие доходы, всего</t>
  </si>
  <si>
    <t>Субсидия бюджетным учреждениям на компенсацию расходов на оплату стоимости проезда и провоза багажа к месту использования отпуска и обратно всего, в т.ч.</t>
  </si>
  <si>
    <t>субсидии на осуществление капитальных вложений, всего, в т.ч.</t>
  </si>
  <si>
    <t>Субсидия бюджетным учреждениям на возмещение затрат по коммунальным услугам всего, в т.ч.</t>
  </si>
  <si>
    <t>Выплаты специалистам, работающим и проживающим в сельских населённых пунктах Ненецкого автономного округа всего, в т.ч.</t>
  </si>
  <si>
    <t>7С47</t>
  </si>
  <si>
    <t>Обеспечение антитеррористической защищенности объектов (территории) образовательных организаций Ненецкого автономного округа всего, в т.ч.</t>
  </si>
  <si>
    <t>Субсидия бюджетным учреждениям на организацию и проведение мероприятий, напрвленных на приобщение к труду  детей в возрасте от 14 до 18 лет, в свободное от учебы время всего, в т.ч.</t>
  </si>
  <si>
    <t>Субсидия бюджетным учреждениям на организацию и обеспечение питания обучающихся в государственных общеобразовательных учреждениях всего, в т.ч.</t>
  </si>
  <si>
    <t>Выплаты ежемесячных стипендий обучающимся "на отлично" в государственных общеобразовательных организациях Ненецкого автономного округа всего, в т.ч.</t>
  </si>
  <si>
    <t>7С56</t>
  </si>
  <si>
    <t>Организация отдыха детей в каникулярный период в лагерях дневного пребывания на базе образовательных организаций Ненецкого автономного округа (дети в возрасте от 7 до 14 лет включительно) всего, в т.ч.</t>
  </si>
  <si>
    <t>7А06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</si>
  <si>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всего, в т.ч.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</si>
  <si>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всего, в т.ч.</t>
  </si>
  <si>
    <t>Целевая субсидия N всего, в т.ч.</t>
  </si>
  <si>
    <t>12.5.</t>
  </si>
  <si>
    <t>Прочие поступления, всего</t>
  </si>
  <si>
    <t>х</t>
  </si>
  <si>
    <t>13.</t>
  </si>
  <si>
    <t>Остаток средств на начало года</t>
  </si>
  <si>
    <t>14.</t>
  </si>
  <si>
    <t>Выплаты, уменьшающие доход, всего</t>
  </si>
  <si>
    <t>том числе:</t>
  </si>
  <si>
    <t>налог на прибыль</t>
  </si>
  <si>
    <t>налог на добавленную стоимость</t>
  </si>
  <si>
    <t>прочие налоги, уменьшающие доход</t>
  </si>
  <si>
    <t>15.</t>
  </si>
  <si>
    <t>Возврат средств, всего</t>
  </si>
  <si>
    <t>16.</t>
  </si>
  <si>
    <t>Остаток средств на конец года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</si>
  <si>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</si>
  <si>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</si>
  <si>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</si>
  <si>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</si>
  <si>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 xml:space="preserve">Количество 
</t>
  </si>
  <si>
    <t>Сумма, руб. 
(гр. 3 x гр. 4 x 
гр. 5)</t>
  </si>
  <si>
    <t>1</t>
  </si>
  <si>
    <t>суточные</t>
  </si>
  <si>
    <t>2</t>
  </si>
  <si>
    <t>проживание</t>
  </si>
  <si>
    <t>3</t>
  </si>
  <si>
    <t>проезд</t>
  </si>
  <si>
    <t>4</t>
  </si>
  <si>
    <t>проезд к месту учебы и обратно</t>
  </si>
  <si>
    <t xml:space="preserve">Итого: 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</si>
  <si>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</si>
  <si>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</si>
  <si>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</si>
  <si>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</si>
  <si>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(Государственное задание)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</si>
  <si>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</si>
  <si>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</si>
  <si>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</si>
  <si>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</si>
  <si>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</si>
  <si>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</si>
  <si>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</si>
  <si>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</si>
  <si>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</si>
  <si>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</si>
  <si>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</si>
  <si>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</si>
  <si>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</si>
  <si>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</si>
  <si>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</si>
  <si>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</si>
  <si>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</si>
  <si>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</si>
  <si>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</si>
  <si>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</si>
  <si>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</si>
  <si>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t>1.5.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</si>
  <si>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</si>
  <si>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</si>
  <si>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</si>
  <si>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</si>
  <si>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291.1</t>
  </si>
  <si>
    <t>Прочие сборы, штрафы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</si>
  <si>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</si>
  <si>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</si>
  <si>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</si>
  <si>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</si>
  <si>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</si>
  <si>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Связь</t>
  </si>
  <si>
    <t xml:space="preserve"> Итого:</t>
  </si>
  <si>
    <t>2.2.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</si>
  <si>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</si>
  <si>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</si>
  <si>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</si>
  <si>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Доставка груза</t>
  </si>
  <si>
    <t>2.3. Расчет (обоснование) расходов на оплату аренды имущества</t>
  </si>
  <si>
    <t>Ставка 
арендной 
платы</t>
  </si>
  <si>
    <t>Стоимость 
с учетом НДС, 
руб.</t>
  </si>
  <si>
    <t>Аренда гаража</t>
  </si>
  <si>
    <t>2.4.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</si>
  <si>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</si>
  <si>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</si>
  <si>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</si>
  <si>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Услуги по содержанию имущество</t>
  </si>
  <si>
    <t>Техобслуживание здания</t>
  </si>
  <si>
    <t xml:space="preserve">Вывоз сухого мусора </t>
  </si>
  <si>
    <t>Текущий ремонт</t>
  </si>
  <si>
    <t>2.5. Расчет (обоснование) расходов на оплату прочих работ, услуг</t>
  </si>
  <si>
    <t>Количество договоров</t>
  </si>
  <si>
    <t>Стоимость 
услуги, руб.</t>
  </si>
  <si>
    <t>прочие услуги</t>
  </si>
  <si>
    <t>медосмотры</t>
  </si>
  <si>
    <t>промывка системы отопления</t>
  </si>
  <si>
    <t>2.6.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</si>
  <si>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</si>
  <si>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</si>
  <si>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310</t>
  </si>
  <si>
    <t>Увеличение стоимости основных средств</t>
  </si>
  <si>
    <t>341</t>
  </si>
  <si>
    <t>Увеличение стоимости лекарственных препаратов и материалов, применяемых в медицинских целях</t>
  </si>
  <si>
    <t>342</t>
  </si>
  <si>
    <t>Увеличение стоимости продуктов питания</t>
  </si>
  <si>
    <t>343</t>
  </si>
  <si>
    <t>Увеличение стоимости горюче-смазочных материалов</t>
  </si>
  <si>
    <t>344</t>
  </si>
  <si>
    <t>Увеличение стоимости строительных материалов</t>
  </si>
  <si>
    <t>345</t>
  </si>
  <si>
    <t>Увеличение стоимости мягкого инвентаря</t>
  </si>
  <si>
    <t>346</t>
  </si>
  <si>
    <t>Увеличение стоимости прочих оборотных запасов (материалов)</t>
  </si>
  <si>
    <t>349</t>
  </si>
  <si>
    <t>Увеличение стоимости материальных запасов однократного применения</t>
  </si>
  <si>
    <t>1.1. Расчеты (обоснования) выплат персоналу по уходу за ребенком</t>
  </si>
  <si>
    <t>15.1.02.74500</t>
  </si>
  <si>
    <t>Пособие по уходу за ребенком до 3-х лет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</si>
  <si>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(Питание)</t>
  </si>
  <si>
    <t>1.3. Расчет (обоснование) расходов на приобретение продуктов питания в школе</t>
  </si>
  <si>
    <t>530</t>
  </si>
  <si>
    <t>531</t>
  </si>
  <si>
    <t>532</t>
  </si>
  <si>
    <t>535</t>
  </si>
  <si>
    <t>536</t>
  </si>
  <si>
    <t>550</t>
  </si>
  <si>
    <t>1.4. Расчет (обоснование) расходов на оплату транспортных услуг</t>
  </si>
  <si>
    <t>2.1.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(Классное руководство за работу в группах)</t>
  </si>
  <si>
    <t>15.Ц.00.74610</t>
  </si>
  <si>
    <t>0701</t>
  </si>
  <si>
    <t>2.2.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(Классное руководство )</t>
  </si>
  <si>
    <t>0702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</si>
  <si>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</si>
  <si>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3.1. Расчеты (обоснования) расходов на социальные и иные выплаты населению</t>
  </si>
  <si>
    <t>Размер одной выплаты, руб.</t>
  </si>
  <si>
    <t>Количество 
выплат в год</t>
  </si>
  <si>
    <t>Общая сумма выплат, руб. 
(гр. 3 x гр. 4)</t>
  </si>
  <si>
    <t>19.1.08.7С470</t>
  </si>
  <si>
    <t>найм жилья</t>
  </si>
  <si>
    <t>коммунальные расходы</t>
  </si>
  <si>
    <t>4.1. Расчеты (обоснования) расходов на социальные и иные выплаты населению</t>
  </si>
  <si>
    <t>Выплаты ежемесячных стипендий обучающимся "на отлично" в государственных общеобразовательных организациях Ненецкого автономного округа</t>
  </si>
  <si>
    <t>19.1.11.7С560</t>
  </si>
  <si>
    <t>1-4 класс</t>
  </si>
  <si>
    <t>5-9 класс</t>
  </si>
  <si>
    <t>10-11 класс</t>
  </si>
  <si>
    <t>5.1. Расчет (обоснование) расходов на компенсацию расходов на оплату стоимости проезда и провоза багажа к месту использлвания отпуска и обратно</t>
  </si>
  <si>
    <t>15.1.02.70190</t>
  </si>
  <si>
    <t>6.1. Расчет (обоснование) прочих расходов 
(Установка (расширение) единых функционирующих систем и проведение работ по их модернизации (охранной сигнализации, системы видеонаблюдения и контроля доступа)</t>
  </si>
  <si>
    <t>02.3.01.7P150</t>
  </si>
  <si>
    <t>Основная школа</t>
  </si>
  <si>
    <t>детский сад</t>
  </si>
  <si>
    <t>7.1. Расчет (обоснование) расходов на оплату коммунальных услуг</t>
  </si>
  <si>
    <t>15.1.02.70200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</si>
  <si>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</si>
  <si>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</si>
  <si>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</si>
  <si>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</si>
  <si>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721</t>
  </si>
  <si>
    <t>Теплоснабжение</t>
  </si>
  <si>
    <t>730</t>
  </si>
  <si>
    <t>Электроэнергия</t>
  </si>
  <si>
    <t>740</t>
  </si>
  <si>
    <t>Водоснабжение</t>
  </si>
  <si>
    <t>8.1. Расчет (обоснование) расходов на обслуживание внутренних инженерных сетей и подготовки зданий к отопительному сезону</t>
  </si>
  <si>
    <t>15.2.02.70320</t>
  </si>
  <si>
    <t>225</t>
  </si>
  <si>
    <t>226</t>
  </si>
  <si>
    <t>9.1. Расчет (обоснование) прочих расходов 
Мероприятия по развитию учебно-материальной базы по военно-патриотическому воспитанию детей и молодёжи</t>
  </si>
  <si>
    <t>16.3.02.7М160</t>
  </si>
  <si>
    <t>Военная форма</t>
  </si>
  <si>
    <t>Атрибутика, инвентарь</t>
  </si>
  <si>
    <t>10.1. Расчет (обоснование) прочих расходов 
(Организация отдыха детей в каникулярный период в лагерях дневного пребывания на базе образовательных организаций Ненецкого автономного округа (дети в возрасте от 7 до 14 лет включительно))</t>
  </si>
  <si>
    <t>29.1.02.7A060</t>
  </si>
  <si>
    <t>Наименование  должности</t>
  </si>
  <si>
    <t>Кол-во штатных единиц</t>
  </si>
  <si>
    <t xml:space="preserve">Должностной оклад </t>
  </si>
  <si>
    <t>Должностной оклад  от размера ставки</t>
  </si>
  <si>
    <t>Надбавка за стаж работы</t>
  </si>
  <si>
    <t>Надбавка молодому специалисту</t>
  </si>
  <si>
    <t>Вредные условия труда</t>
  </si>
  <si>
    <t>оплата в ночное время</t>
  </si>
  <si>
    <t>Доплата до МРОТ (до 12 130,00)</t>
  </si>
  <si>
    <t>Надбавка за стаж работы в районах крайнего севера</t>
  </si>
  <si>
    <t>ИТОГО в месяц</t>
  </si>
  <si>
    <t>ИТОГО в год</t>
  </si>
  <si>
    <t>сумма, руб.</t>
  </si>
  <si>
    <t>Всего руководители</t>
  </si>
  <si>
    <t>Специалисты, служащие</t>
  </si>
  <si>
    <t>Всего специалисты, служащие</t>
  </si>
  <si>
    <t>Технический, прочий персонал</t>
  </si>
  <si>
    <t>Всего технический, прочий персонал</t>
  </si>
  <si>
    <t>ВСЕГО по учреждению</t>
  </si>
  <si>
    <t>Всего технический, прочий персонал (питание)</t>
  </si>
  <si>
    <t>Расчет субсидии на организацию отдыха детей в каникулярный период в лагерях дневного пребывания на базе образовательных организаций Ненецкого автономного округа (дети в возрасте от 7 до 14 лет включительно) на 2020 год</t>
  </si>
  <si>
    <t>Расчет затрат на оказание государственной услуги и питание воспитанников лагеря, город</t>
  </si>
  <si>
    <t>Расчет затрат на оказание государственной услуги и питание воспитанников лагеря, село</t>
  </si>
  <si>
    <t>Фактическое кол-во детей в 2019</t>
  </si>
  <si>
    <t>Кол-во дето-дней (продолжи-тельность 1 смены - 21 день)</t>
  </si>
  <si>
    <t>Размер ФОТ с начислениями (начальник лагеря) с учетом  индексации 1,042</t>
  </si>
  <si>
    <t>Размер ФОТ с начислениями (воспитатель) с учетом  индексации 1,042</t>
  </si>
  <si>
    <t>Размер ФОТ с начислениями (педагог-организатор) с учетом  индексации 1,042</t>
  </si>
  <si>
    <t>Размер ФОТ с начислениями (музыкальный руководитель) с учетом  индексации 1,042</t>
  </si>
  <si>
    <t>Размер ФОТ с начислениями (инструктор по физической культуре)  с учетом  индексации 1,042</t>
  </si>
  <si>
    <t>Размер ФОТ с начислениями (медицинская сестра)</t>
  </si>
  <si>
    <t>Итого расходы на оплату труда и начисления на оплату труда, руб.</t>
  </si>
  <si>
    <t>Расходы на питание</t>
  </si>
  <si>
    <t>Расходы на проведение мероприятий</t>
  </si>
  <si>
    <t>Количество работников пищеблоков летней площадки, чел.</t>
  </si>
  <si>
    <t>Стоимость проведения анализа проб на одного работника пищеблока*, руб.</t>
  </si>
  <si>
    <t>ВСЕГО расходы на оказание гос. услуги, руб.</t>
  </si>
  <si>
    <t>Средняя стоимость 1 путевки пришкольного лагеря, руб.</t>
  </si>
  <si>
    <t>Итого стоимость 1 путевки пришкольного лагеря, руб.</t>
  </si>
  <si>
    <t xml:space="preserve">Фактическая численность персонала </t>
  </si>
  <si>
    <t>Сумма начисленной заработной платы, руб.</t>
  </si>
  <si>
    <t>Сумма начислений на оплату труда, руб.</t>
  </si>
  <si>
    <t>Сумма заключенного договора, руь.</t>
  </si>
  <si>
    <t>фактические сложившаяся стоимость одного дня</t>
  </si>
  <si>
    <t>Сумма расходов на приобретение продуктов питания, руб.</t>
  </si>
  <si>
    <t xml:space="preserve">Численность </t>
  </si>
  <si>
    <t>Сумма заключенного договора с меицинской организацией, руб.</t>
  </si>
  <si>
    <t>Плановая стоимость одного дня питания (266,90*1,037) рублей</t>
  </si>
  <si>
    <t>Фактически сложившаяся стоимость на 1 ребенка, руб.</t>
  </si>
  <si>
    <t>Сумма расходов на проведение мероприятий, руб.</t>
  </si>
  <si>
    <t xml:space="preserve">* Перед началом летней кампании  работникам пищеблоков  (сотрудники, деятельность которых связана с производством, хранением, транспортировкой, реализацией пищевых продуктов и питьевой воды) </t>
  </si>
  <si>
    <t>в соответствии с п. 10.6.2. СП 3.1.1.3108-08 «Профилактика острых кишечных инфекций» необходимо пройти однократное лабораторное обследование с целью определения возбудителей острых кишечных инфекций бактериальной и вирусной этиологии</t>
  </si>
  <si>
    <t xml:space="preserve"> (энтеро, нора, рота, адено-вирусные инфекции, бактериальной этиологии- сальманелез, иерсиниоз, дизентирия). </t>
  </si>
  <si>
    <t>Исполнитель: Филиппова М.Э., 2-18-63, доб. 1743</t>
  </si>
  <si>
    <t>Расчет субсидии на 2020 год</t>
  </si>
  <si>
    <t>Предусмотрено в бюджете 2019</t>
  </si>
  <si>
    <t>Средняя стоимость путевки пришкольного лагеря</t>
  </si>
  <si>
    <t>Плановая численность на 2020 год</t>
  </si>
  <si>
    <t>Сумма субсиии на 2020 год</t>
  </si>
  <si>
    <t>Сумма субсиии на 2021 год</t>
  </si>
  <si>
    <t>Сумма субсиии на 2022 год</t>
  </si>
  <si>
    <t>с47</t>
  </si>
  <si>
    <t>иные</t>
  </si>
  <si>
    <t>вн/б</t>
  </si>
  <si>
    <t>Поощрительная надбавка за звание, категорию</t>
  </si>
  <si>
    <t>цена 2019 год</t>
  </si>
  <si>
    <t>Бинт</t>
  </si>
  <si>
    <t>Зеленка</t>
  </si>
  <si>
    <t>Йод</t>
  </si>
  <si>
    <t>Перекись водорода</t>
  </si>
  <si>
    <t xml:space="preserve"> 2020 год</t>
  </si>
  <si>
    <t>Документовед</t>
  </si>
  <si>
    <t>Лаборант</t>
  </si>
  <si>
    <t>усл</t>
  </si>
  <si>
    <t>Техническое обслуживание сети теплоснабжения</t>
  </si>
  <si>
    <t>Совещание, проверка знаний, участие в конкурсах педмастерства</t>
  </si>
  <si>
    <t>Нарьян-Мар</t>
  </si>
  <si>
    <t>Лейкопластырь</t>
  </si>
  <si>
    <t>Раствор аммиака</t>
  </si>
  <si>
    <t>Бинт эластичный</t>
  </si>
  <si>
    <t>Уголь активированный</t>
  </si>
  <si>
    <t>Парацетомол</t>
  </si>
  <si>
    <t>Но-шпа</t>
  </si>
  <si>
    <t>Диазолин</t>
  </si>
  <si>
    <t>Валериана</t>
  </si>
  <si>
    <t>Анальгин</t>
  </si>
  <si>
    <t>Лидокаин (аэрозоль)</t>
  </si>
  <si>
    <t>Тетрациклиновая мазь глазная</t>
  </si>
  <si>
    <t>Спазмалгон</t>
  </si>
  <si>
    <t>Нурофен</t>
  </si>
  <si>
    <t>Жгут резиновый</t>
  </si>
  <si>
    <t>Термометр медицинский электронный</t>
  </si>
  <si>
    <t>Шпатель одноразовый</t>
  </si>
  <si>
    <t>вата</t>
  </si>
  <si>
    <t>Валидол</t>
  </si>
  <si>
    <t>Бромгексин</t>
  </si>
  <si>
    <t>Зубные капли</t>
  </si>
  <si>
    <t>Клей БФ 6(для обработки микротравм)</t>
  </si>
  <si>
    <t>Сульфацил натрия</t>
  </si>
  <si>
    <t>Нафтизин</t>
  </si>
  <si>
    <t>Пипетки</t>
  </si>
  <si>
    <t>Троксевазин мазь</t>
  </si>
  <si>
    <t>Глицирин</t>
  </si>
  <si>
    <t>Шприцы</t>
  </si>
  <si>
    <t>Валенки</t>
  </si>
  <si>
    <t>Лопата для уборки снега</t>
  </si>
  <si>
    <t xml:space="preserve">Дети-инвалиды </t>
  </si>
  <si>
    <t>Дети, имеющие право на компесацию 50 % стоимости продуктов (согласно договоров возмездного оказания услуг по предоставлению питания)</t>
  </si>
  <si>
    <t>гардеробщик</t>
  </si>
  <si>
    <t>повар</t>
  </si>
  <si>
    <t>сторож</t>
  </si>
  <si>
    <t>педагог-организатор</t>
  </si>
  <si>
    <t>библиотекарь</t>
  </si>
  <si>
    <t>документовед</t>
  </si>
  <si>
    <t>директор школы</t>
  </si>
  <si>
    <t>Электроснабжение 223/730</t>
  </si>
  <si>
    <t>Теплоснабжение 223/721</t>
  </si>
  <si>
    <t>Холодное водоснабжение 223/740</t>
  </si>
  <si>
    <t>Горячее водоснабжение 223/740</t>
  </si>
  <si>
    <t>Водоотведение 223/740</t>
  </si>
  <si>
    <t>куб.м</t>
  </si>
  <si>
    <t xml:space="preserve"> 2020 год 1 полугодие</t>
  </si>
  <si>
    <t xml:space="preserve"> 2020 год 2 полугодие</t>
  </si>
  <si>
    <t>гз</t>
  </si>
  <si>
    <t>ГБОУ НАО "СШ с. ТЕЛЬВИСКА"</t>
  </si>
  <si>
    <t>72350059</t>
  </si>
  <si>
    <t>2983001918/298301001</t>
  </si>
  <si>
    <t>166710, РФ, Ненецкий АО, с. Тельвиска, ул. Школьная, д.1</t>
  </si>
  <si>
    <t>Реализация общеобразовательной программы начального общего образования, основного общего образования, среднего (полного) образования</t>
  </si>
  <si>
    <t>Т.Б. Паюсова</t>
  </si>
  <si>
    <t>ГБОУ "СШ  с.Тельвиска"</t>
  </si>
  <si>
    <t>ГБОУ НАО "СШ с. Тельвиска»</t>
  </si>
  <si>
    <r>
      <t>Расчет фонда оплаты труда по государственному заданию __</t>
    </r>
    <r>
      <rPr>
        <b/>
        <u/>
        <sz val="11"/>
        <color indexed="8"/>
        <rFont val="Times New Roman"/>
        <family val="1"/>
        <charset val="204"/>
      </rPr>
      <t>ГБОУ НАО "Средняя школа с. Тельвиска"</t>
    </r>
    <r>
      <rPr>
        <b/>
        <sz val="11"/>
        <color indexed="8"/>
        <rFont val="Times New Roman"/>
        <family val="1"/>
        <charset val="204"/>
      </rPr>
      <t>______________________________________________________________</t>
    </r>
  </si>
  <si>
    <t>надбаквка за село</t>
  </si>
  <si>
    <t>кл. рук</t>
  </si>
  <si>
    <t>указ президента</t>
  </si>
  <si>
    <t>Директор, высшее</t>
  </si>
  <si>
    <t>Заместитель директора, высшее</t>
  </si>
  <si>
    <t>Социальный педагог,среднее профессиональное</t>
  </si>
  <si>
    <t>Педагог-организатор, высшее</t>
  </si>
  <si>
    <t>Педагог дополнительного образования, высшее</t>
  </si>
  <si>
    <t>Воспитатель, высшее</t>
  </si>
  <si>
    <t>Учитель</t>
  </si>
  <si>
    <t>Преподаватель-организатор ОБЖ</t>
  </si>
  <si>
    <t>Библиотекарь, среднее специальное</t>
  </si>
  <si>
    <t>Гардеробщик, 1 разряд</t>
  </si>
  <si>
    <t>Кухонный рабочий, 2 разряд</t>
  </si>
  <si>
    <t>Дворник, 1 разряд</t>
  </si>
  <si>
    <t>Сторож (вахтер), 2 разряд</t>
  </si>
  <si>
    <t>Уборщик  служебных помещений, 1 разряд</t>
  </si>
  <si>
    <t>Водитель мототранспортного средства</t>
  </si>
  <si>
    <t>Повар детского питания, 5 разряд</t>
  </si>
  <si>
    <t>Рабочий по комплексному обслуживанию и ремонту зданий, 3 разряд</t>
  </si>
  <si>
    <t>Начальник хоз.отдела, среднее</t>
  </si>
  <si>
    <t>Заведующий столовой, среднее</t>
  </si>
  <si>
    <t>г.Архангельск</t>
  </si>
  <si>
    <t>Учитель начальных классов</t>
  </si>
  <si>
    <t>Сопровождение сайта</t>
  </si>
  <si>
    <t>квартал</t>
  </si>
  <si>
    <t>Изготовление ЭЦП</t>
  </si>
  <si>
    <t>шт.</t>
  </si>
  <si>
    <t>Антивирусный ПО “Kaspersky Endpoint Security для бизнеса – Стандартный”</t>
  </si>
  <si>
    <t>комплект</t>
  </si>
  <si>
    <t>Нотариальные услуги</t>
  </si>
  <si>
    <t>услуга</t>
  </si>
  <si>
    <t>Лицензия Крипто-Про</t>
  </si>
  <si>
    <t>Проведение анализа проб готовых блюд</t>
  </si>
  <si>
    <t>Уборка снега</t>
  </si>
  <si>
    <t xml:space="preserve">Вывоз твердых бытовых отходов </t>
  </si>
  <si>
    <t>рейс</t>
  </si>
  <si>
    <t xml:space="preserve">Дезинфекция, дезинсекция, дератизация
</t>
  </si>
  <si>
    <t xml:space="preserve">Проведение испытаний пожарных кранов
</t>
  </si>
  <si>
    <t>заправка картриджей E-30 Canon</t>
  </si>
  <si>
    <t>шт</t>
  </si>
  <si>
    <t>заправка картриджей CE278A (78A) Hp</t>
  </si>
  <si>
    <t>заправка картриджей Q7553A (53A) Hp</t>
  </si>
  <si>
    <t>заправка картриджей (12A) Hp</t>
  </si>
  <si>
    <t>взносы на капитальный ремонт</t>
  </si>
  <si>
    <t xml:space="preserve">Техническое обслуживание сети электроснабжения, теплоснабжения, водоснабжения, систем канализации </t>
  </si>
  <si>
    <t>ТО вентиляционных систем</t>
  </si>
  <si>
    <t xml:space="preserve">повышение квалификации, педагог  дополнительного образования  </t>
  </si>
  <si>
    <t xml:space="preserve">повышение квалификации, учитель истории и обществознания, </t>
  </si>
  <si>
    <t>повышение квалификации, учитель русского языка и литературы</t>
  </si>
  <si>
    <t>Литературное чтение (в 2 частях). Климанова Л.Ф.,Горецкий В.Г., Голованова М.В. И др. 1 класс.</t>
  </si>
  <si>
    <t>Русский язык (в 2 частях). Канакина В.П., Горецкий В.Г. 3 класс.</t>
  </si>
  <si>
    <t>Литературное чтение (в 2 частях). Климанова Л.Ф.,Горецкий В.Г., Голованова М.В. И др. 3 класс.</t>
  </si>
  <si>
    <t>Английский язык (в 2 частях). Афанасьева О.В., Михеева И.В. 3 класс.</t>
  </si>
  <si>
    <t>Математика (в 2 частях). Моро М.И.. Бантова М.А., Бельтюкова Г.В. И др. 3 класс.</t>
  </si>
  <si>
    <t>Окружающий мир (в 2 частях). Плешаков А.А. 3 класс.</t>
  </si>
  <si>
    <t>Изобразительное искусство.Горяева Н.А., Неменская Л.А., Питерских А.С. 3 класс.</t>
  </si>
  <si>
    <t>Музыка (в 2 частях). Алеев В.В., Кичак Т.Н. 3 класс</t>
  </si>
  <si>
    <t>Физическая культура. Лях В.И. 1-4 класс</t>
  </si>
  <si>
    <t>Информатика. Рудченко Т.А., Семенов А.Л. 3 класс.</t>
  </si>
  <si>
    <t>Литература (в 2 частях) Чертов В.Ф.,Трубина Л.А., Антипова А.М. 9 класс</t>
  </si>
  <si>
    <t>Русский язык. Бархударов С.Г., Крючков С.Е., Максимов Л.Ю. 9 класс.</t>
  </si>
  <si>
    <t>Обществознание. Боголюбов Л.Н., Лазебникова А.Ю., Матвеев А.И. и др. 9 класс.</t>
  </si>
  <si>
    <t>Алгебра. Мерзляк А.Г., Полонский В.Б., Якир М.С. 9 класс.</t>
  </si>
  <si>
    <t>Геометрия. Мерзляк А.Г., Полонский В.Б., Якир М.С. 9 класс.</t>
  </si>
  <si>
    <t>Биология. Захаров В.Б., Сивоглазов В.И., Мамонтов С.Г., Агафонов И.Б. 9 класс.</t>
  </si>
  <si>
    <t>Химия. Габриелян О.С. 9 класс.</t>
  </si>
  <si>
    <t>География. Алексеев А.И., Низовцев В.А., Ким Э.В. 9 класс.</t>
  </si>
  <si>
    <t>География. Алексеев А.И., Низовцев В.А., Ким Э.В. 8 класс.</t>
  </si>
  <si>
    <t>Всеобщая история. Новое время. Медяков А.С., Бовыкин Д.Ю. 9 класс.</t>
  </si>
  <si>
    <t>История России (в 2 частях). Арсентьев Н.М., Данилов А.А., Левандовский А.А. и др. 9 класс.</t>
  </si>
  <si>
    <t>Информатика. Босова Л.Л., Босова А.Ю. 9 класс.</t>
  </si>
  <si>
    <t>Черчение. Ботвинников А.Д., Виноградов В.Н., Вышнепольский И.С. 9 класс.</t>
  </si>
  <si>
    <t>Физическая культура. Лях В.И. 8-9 класс.</t>
  </si>
  <si>
    <t>Основы безопасности жизнедеятельности. Вангородский С.Н., Кузнецов М.И., Латчук В.Н. и др. 9 класс.</t>
  </si>
  <si>
    <t>Технология. Матяш Н.В., Электов А.А., Симоненко В.Д. и др. 8 класс.</t>
  </si>
  <si>
    <t>Основы духовно-нравственной культуры народов России. Виноградова Н.Ф., Власенко В.И., Поляков А.В. 5 класс.</t>
  </si>
  <si>
    <t xml:space="preserve">краска </t>
  </si>
  <si>
    <t>шпаклевка</t>
  </si>
  <si>
    <t>кисти</t>
  </si>
  <si>
    <t>валики</t>
  </si>
  <si>
    <r>
      <rPr>
        <b/>
        <sz val="11"/>
        <color theme="1"/>
        <rFont val="Times New Roman"/>
        <family val="1"/>
        <charset val="204"/>
      </rPr>
      <t>КОСГУ 343/540</t>
    </r>
    <r>
      <rPr>
        <sz val="11"/>
        <color theme="1"/>
        <rFont val="Times New Roman"/>
        <family val="1"/>
        <charset val="204"/>
      </rPr>
      <t xml:space="preserve"> Горюче-смазочные материалы</t>
    </r>
  </si>
  <si>
    <t>Бензин автомобильный с октановым числом-92 (литров)</t>
  </si>
  <si>
    <t>Масло</t>
  </si>
  <si>
    <t>Халат</t>
  </si>
  <si>
    <t>Халат белый</t>
  </si>
  <si>
    <t>Костюм х/б</t>
  </si>
  <si>
    <t>Костюм теплый зимний</t>
  </si>
  <si>
    <t>Фартук х/б</t>
  </si>
  <si>
    <t>Фартук непромокаемый</t>
  </si>
  <si>
    <t>Колпак</t>
  </si>
  <si>
    <t>Косынка</t>
  </si>
  <si>
    <t>Рукавицы-верхонки</t>
  </si>
  <si>
    <t>Рукавицы зимние</t>
  </si>
  <si>
    <t>Тапки</t>
  </si>
  <si>
    <t>Сапоги кирзовые</t>
  </si>
  <si>
    <t>Сапоги резиновые</t>
  </si>
  <si>
    <t>Костюмы поварские</t>
  </si>
  <si>
    <t>Маркер д/бел.досок CENTROPEN BOARD 1,80 мм  круглый</t>
  </si>
  <si>
    <t>Маркер перманент. CENTROPEN PERMANENT 2,50 мм круглый</t>
  </si>
  <si>
    <t>Набор перм.марк. CENTROPEN PERMANENT 2,50 мм 4 шт. цв.круглый</t>
  </si>
  <si>
    <t>Ручка шарик. PILOT BPS 1 мм синяя</t>
  </si>
  <si>
    <t xml:space="preserve">Ручка шарик. CORVINA 51 прозрач. корпус 1,00 мм </t>
  </si>
  <si>
    <t>Ручка гел. LINC OCEAN SLIM 0,5 мм черный</t>
  </si>
  <si>
    <t>Бумага inФОРМАТ MIX 5 цветов 100 л. 80 г/м2 А4</t>
  </si>
  <si>
    <t>Бумага "SVETOCOPY" 500 л. 80 г/м2 А4</t>
  </si>
  <si>
    <t>Бумага бархатная 10 цв</t>
  </si>
  <si>
    <t>Набор цветн.каранд ЦВЕТОЧНЫЙ САД 36 цв. шестигранные</t>
  </si>
  <si>
    <t>Карандаш простой</t>
  </si>
  <si>
    <t>Альбом для рисования</t>
  </si>
  <si>
    <t>Краски акварель 12 цветов</t>
  </si>
  <si>
    <t>Гуашь Каляка-Маляка 17 мл 12 цв.</t>
  </si>
  <si>
    <t>Ножницы офисные</t>
  </si>
  <si>
    <t>Батарейки А 3, А4.</t>
  </si>
  <si>
    <t>Скотч</t>
  </si>
  <si>
    <t>Ватман</t>
  </si>
  <si>
    <t>Тетради в клетку 18 л</t>
  </si>
  <si>
    <t>Тетради в линейку 18 л</t>
  </si>
  <si>
    <t>Тетради общие 48 л</t>
  </si>
  <si>
    <t>Тетради общие 96</t>
  </si>
  <si>
    <t>Тетради общие с разделителем</t>
  </si>
  <si>
    <t>Обложки для журналов</t>
  </si>
  <si>
    <t>Школьные журналы 1-9 кл</t>
  </si>
  <si>
    <t>Школьные журналы 10-11 кл</t>
  </si>
  <si>
    <t>Папка на резинках</t>
  </si>
  <si>
    <t>Регистратор</t>
  </si>
  <si>
    <t>Стикеры</t>
  </si>
  <si>
    <t>Файл (уп по 1000 шт)</t>
  </si>
  <si>
    <t>Клей пва</t>
  </si>
  <si>
    <t>Лоток вертикальный пластиковый</t>
  </si>
  <si>
    <t>Лоток вертикальный картонный</t>
  </si>
  <si>
    <t>Клей-карандаш PILOT 40 г</t>
  </si>
  <si>
    <t>Корректирующая жидкость</t>
  </si>
  <si>
    <t>Скрепки металлические</t>
  </si>
  <si>
    <t>Скрепки цветные</t>
  </si>
  <si>
    <t>Кнопки inФОРМАТ цв.ассорти металл 11 мм 50 шт</t>
  </si>
  <si>
    <t>Зажимы для бумаги</t>
  </si>
  <si>
    <t>Грамоты, дипломы</t>
  </si>
  <si>
    <t>Блок самоклеющийся</t>
  </si>
  <si>
    <t>Папка скоросшиватель</t>
  </si>
  <si>
    <t>Степлер малый</t>
  </si>
  <si>
    <t>Степлер большой</t>
  </si>
  <si>
    <t>Скобы для степлера малые</t>
  </si>
  <si>
    <t>Скобы для степлера большие</t>
  </si>
  <si>
    <t>Линейка дерев. 30 см</t>
  </si>
  <si>
    <t>Калькулятор inФОРМАТ KN04-12 12 р серый бухгалтерский</t>
  </si>
  <si>
    <t>Ластик KOH-I-NOOR 6521/60 каучук 60х18х8 мм красно-синий</t>
  </si>
  <si>
    <t>Нож канцелярский</t>
  </si>
  <si>
    <t>Картридж для Xerox Workcentre</t>
  </si>
  <si>
    <t>Порошок стиральный 5 кг</t>
  </si>
  <si>
    <t>Жидкое мыло 250 мл</t>
  </si>
  <si>
    <t>Моющее средство "АОС" 0,5 л</t>
  </si>
  <si>
    <t>Моющее средство "АОС" 1 л</t>
  </si>
  <si>
    <t>Чистящее средство "Доместос" 1000 мл</t>
  </si>
  <si>
    <t>Чистящее средство "Доместос" 500 мл</t>
  </si>
  <si>
    <t>Чистящее средство "Комет" 500 мл</t>
  </si>
  <si>
    <t>Средство моющее для стекол</t>
  </si>
  <si>
    <t>Жидкое мыло (500гр.)</t>
  </si>
  <si>
    <t xml:space="preserve">Пакет для мусора (60 л.) </t>
  </si>
  <si>
    <t>Пакет для мусора  (30 л).</t>
  </si>
  <si>
    <t>Губка для посуды "Русалочка" (уп) 10 шт</t>
  </si>
  <si>
    <t>Губка для посуды металлическая</t>
  </si>
  <si>
    <t>Туалетная бумага</t>
  </si>
  <si>
    <t>Салфетки бумажные (уп)  100 шт.</t>
  </si>
  <si>
    <t>Полотенце бумажное (2 шт.)</t>
  </si>
  <si>
    <t>Перчатки резиновые</t>
  </si>
  <si>
    <t>Веник  Сарго</t>
  </si>
  <si>
    <t>Поднос нержавеющий эмалированный</t>
  </si>
  <si>
    <t>Доски разделочные деревянные</t>
  </si>
  <si>
    <t>Ножи разные</t>
  </si>
  <si>
    <t>Лопатки деревянные</t>
  </si>
  <si>
    <t>Урна для кухонного мусора</t>
  </si>
  <si>
    <t>Чайник эмалированный ( 3,5л)</t>
  </si>
  <si>
    <t>Кастрюля нержавеющая (3,0л)</t>
  </si>
  <si>
    <t>Кастрюля нержавеющая (12.0л)</t>
  </si>
  <si>
    <t>Кастрюля нержавеющая (8,0л)</t>
  </si>
  <si>
    <t>Кастрюля нержавеющая (4,0л)</t>
  </si>
  <si>
    <t>Кастрюля эмалированная (10,0л)</t>
  </si>
  <si>
    <t>Русский язык. Прописи.</t>
  </si>
  <si>
    <t>Математика (раб. тетр.)</t>
  </si>
  <si>
    <t>Окружающий мир (раб. тетр.)</t>
  </si>
  <si>
    <t>Музыка (раб. тетр.)</t>
  </si>
  <si>
    <t>Русский язык. (раб. тетр.)</t>
  </si>
  <si>
    <t>Математика. (раб. тетр.)</t>
  </si>
  <si>
    <t>Окружающий мир. (раб. тетр.)</t>
  </si>
  <si>
    <t>Музыка. (раб. тетр.)</t>
  </si>
  <si>
    <t>Английский язык. (раб. тетр.)</t>
  </si>
  <si>
    <t>Информатика. (раб. тетр.)</t>
  </si>
  <si>
    <t>Английский язык. В 2-х частях. (раб. тетр.)</t>
  </si>
  <si>
    <t>Основы светской этики(раб. тетр.)</t>
  </si>
  <si>
    <t>Русский язык(раб. тетр.)</t>
  </si>
  <si>
    <t>Обществознание(раб. тетр.)</t>
  </si>
  <si>
    <t>Всеобщая история. История Древнего мира. (раб. тетр.)</t>
  </si>
  <si>
    <t>География (атлас)</t>
  </si>
  <si>
    <t>География (конт. карта)</t>
  </si>
  <si>
    <t>История России (атлас)</t>
  </si>
  <si>
    <t>История России (конт. карта)</t>
  </si>
  <si>
    <t>Музыка(раб. тетр.)</t>
  </si>
  <si>
    <t>Алгебра(раб. тетр.)</t>
  </si>
  <si>
    <t>Геометрия(раб. тетр.)</t>
  </si>
  <si>
    <t>География (раб. тетр.)</t>
  </si>
  <si>
    <t>История Нового времени (раб. тетр.)</t>
  </si>
  <si>
    <t>Физика (раб. тетр.)</t>
  </si>
  <si>
    <t>Геометрия (дидакт. материал)</t>
  </si>
  <si>
    <t>Алгебра (дидакт. материал)</t>
  </si>
  <si>
    <t>Алгебра (самостоятельные и контрольные работы)</t>
  </si>
  <si>
    <t>Физика. Сборник задач.</t>
  </si>
  <si>
    <t>Химия (раб. тетр.)</t>
  </si>
  <si>
    <t>аттестаты</t>
  </si>
  <si>
    <t>трудовые книжки</t>
  </si>
  <si>
    <t>83:00:040012:625</t>
  </si>
  <si>
    <t>83:00:040012:95</t>
  </si>
  <si>
    <t>учитель математики, физики</t>
  </si>
  <si>
    <t>Нарьян-Мар-Магнитогорск-Нарьтян-Мар</t>
  </si>
  <si>
    <t>учитель географии</t>
  </si>
  <si>
    <t>Нарьян-Мар-Сочи-Нарьян-Мар</t>
  </si>
  <si>
    <t>учитель математики и физики</t>
  </si>
  <si>
    <t>Нарьян-Мар-Магнитогорск-Нарьян-Мар</t>
  </si>
  <si>
    <t>учитель физической культуры</t>
  </si>
  <si>
    <t>Нарьян-Мар-Адлер-Нарьян-Мар</t>
  </si>
  <si>
    <t>учитель начальных классов</t>
  </si>
  <si>
    <t>Нарьян-Мар-Симферополь-Нарьян-Мар</t>
  </si>
  <si>
    <t>Нарьян-Мар-Краснодар-Нарьян-Мар</t>
  </si>
  <si>
    <t>учитель русского языка и литературы</t>
  </si>
  <si>
    <t>Нарьян-Мар-Минск-Нарьян-Мар</t>
  </si>
  <si>
    <t>Нарьян-Мар-Владивосток-Нарьян-Мар</t>
  </si>
  <si>
    <t>зам. директора по УВР</t>
  </si>
  <si>
    <t>уборщик служебных помещений</t>
  </si>
  <si>
    <t>преподаватель-организатор ОБЖ</t>
  </si>
  <si>
    <t>Нарьян-Мар-Волгоград-Нарьян-Мар</t>
  </si>
  <si>
    <t>учитель английского языка</t>
  </si>
  <si>
    <t>Нарьян-Мар-Ростов-на-Дону</t>
  </si>
  <si>
    <t>лаборант</t>
  </si>
  <si>
    <t>Нарьян-Мар-Архангельск-Нарьян-Мар</t>
  </si>
  <si>
    <t>Нарьян-Мар-Ростов-на-Дону-Нарьян-Мар</t>
  </si>
  <si>
    <t>Нарьян-Мар-Москва-Нарьян-Мар</t>
  </si>
  <si>
    <t>Нарьян-Мар-Анапа-Нарьян-Мар</t>
  </si>
  <si>
    <t>педагог дополнительного образования</t>
  </si>
  <si>
    <t>учитель технологии и ИЗО</t>
  </si>
  <si>
    <t>Нарьян-Мар-Есентуки-Нарьян-Мар</t>
  </si>
  <si>
    <t>кухонный рабочий</t>
  </si>
  <si>
    <t>Нарьян-Мар-Уфа-Нарьян-Мар</t>
  </si>
  <si>
    <t>Нарьян-Мар-Ессентуки-Нарьян-Мар</t>
  </si>
  <si>
    <t>учитель истории и обществознания</t>
  </si>
  <si>
    <t>Нарьян-Мар-Москва-Ейск-Архангльск-Нарьян-Мар</t>
  </si>
  <si>
    <t>учитель химии и биологии</t>
  </si>
  <si>
    <t>Нарьян-Мар-Усть-Цильма-Нарьян-Мар</t>
  </si>
  <si>
    <t>Нарьян-Мар-Крым-Нарьян-Мар</t>
  </si>
  <si>
    <t>Нарьян-Мар-Геленджик-Нарьян-Мар</t>
  </si>
  <si>
    <t>заведующий столовой</t>
  </si>
  <si>
    <t>Нарьян-Мар-Вьетнам-Нарьян-Мар</t>
  </si>
  <si>
    <t>Нарьян-Мар-Италия-Нарьян-Мар</t>
  </si>
  <si>
    <t>завхоз</t>
  </si>
  <si>
    <t>Нарьян-Мар-Калининград-Нарьян-Мар</t>
  </si>
  <si>
    <t>Нарьян-Мар-Осло-Нарьян-Мар</t>
  </si>
  <si>
    <t>и плановый период 2021 и 2022 годов</t>
  </si>
  <si>
    <t xml:space="preserve">НА 2020 ГОД </t>
  </si>
  <si>
    <t>"</t>
  </si>
  <si>
    <t>01</t>
  </si>
  <si>
    <t>января</t>
  </si>
  <si>
    <t>20</t>
  </si>
  <si>
    <t xml:space="preserve"> г.</t>
  </si>
  <si>
    <t>Дата</t>
  </si>
  <si>
    <t>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</si>
</sst>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  <numFmt numFmtId="166" formatCode="#,##0.00_ ;[Red]\-#,##0.0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u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8" fillId="0" borderId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/>
    <xf numFmtId="0" fontId="21" fillId="0" borderId="0"/>
    <xf numFmtId="0" fontId="12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53" fillId="0" borderId="0"/>
    <xf numFmtId="0" fontId="54" fillId="0" borderId="0"/>
    <xf numFmtId="165" fontId="5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83">
    <xf numFmtId="0" fontId="0" fillId="0" borderId="0" xfId="0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0" fontId="16" fillId="0" borderId="0" xfId="2" applyFont="1" applyFill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24" fillId="0" borderId="6" xfId="2" applyNumberFormat="1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/>
    </xf>
    <xf numFmtId="0" fontId="13" fillId="0" borderId="0" xfId="17" applyFont="1" applyFill="1" applyAlignment="1">
      <alignment horizontal="center" vertical="center"/>
    </xf>
    <xf numFmtId="164" fontId="13" fillId="0" borderId="1" xfId="4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24" fillId="0" borderId="1" xfId="10" applyNumberFormat="1" applyFont="1" applyFill="1" applyBorder="1" applyAlignment="1">
      <alignment horizontal="center" vertical="center" wrapText="1"/>
    </xf>
    <xf numFmtId="0" fontId="24" fillId="0" borderId="1" xfId="10" applyFont="1" applyFill="1" applyBorder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 wrapText="1"/>
    </xf>
    <xf numFmtId="4" fontId="13" fillId="0" borderId="1" xfId="17" applyNumberFormat="1" applyFont="1" applyFill="1" applyBorder="1" applyAlignment="1">
      <alignment horizontal="center" vertical="center" wrapText="1"/>
    </xf>
    <xf numFmtId="0" fontId="14" fillId="0" borderId="1" xfId="17" applyFont="1" applyFill="1" applyBorder="1" applyAlignment="1">
      <alignment horizontal="center" vertical="center"/>
    </xf>
    <xf numFmtId="4" fontId="14" fillId="0" borderId="1" xfId="17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13" fillId="0" borderId="0" xfId="18" applyFont="1" applyFill="1" applyAlignment="1">
      <alignment horizontal="center" vertical="center"/>
    </xf>
    <xf numFmtId="0" fontId="13" fillId="0" borderId="1" xfId="18" applyFont="1" applyFill="1" applyBorder="1" applyAlignment="1">
      <alignment horizontal="center" vertical="center" wrapText="1"/>
    </xf>
    <xf numFmtId="164" fontId="13" fillId="0" borderId="1" xfId="19" applyFont="1" applyFill="1" applyBorder="1" applyAlignment="1">
      <alignment horizontal="center" vertical="center"/>
    </xf>
    <xf numFmtId="43" fontId="13" fillId="0" borderId="1" xfId="18" applyNumberFormat="1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0" fontId="13" fillId="0" borderId="0" xfId="20" applyFont="1" applyFill="1" applyAlignment="1">
      <alignment horizontal="center" vertical="center"/>
    </xf>
    <xf numFmtId="0" fontId="13" fillId="0" borderId="1" xfId="20" applyFont="1" applyFill="1" applyBorder="1" applyAlignment="1">
      <alignment horizontal="center" vertical="center" wrapText="1"/>
    </xf>
    <xf numFmtId="4" fontId="13" fillId="0" borderId="1" xfId="20" applyNumberFormat="1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/>
    </xf>
    <xf numFmtId="164" fontId="13" fillId="0" borderId="1" xfId="21" applyFont="1" applyFill="1" applyBorder="1" applyAlignment="1">
      <alignment horizontal="center" vertical="center"/>
    </xf>
    <xf numFmtId="4" fontId="13" fillId="0" borderId="1" xfId="20" applyNumberFormat="1" applyFont="1" applyFill="1" applyBorder="1" applyAlignment="1">
      <alignment horizontal="center" vertical="center"/>
    </xf>
    <xf numFmtId="43" fontId="13" fillId="0" borderId="1" xfId="20" applyNumberFormat="1" applyFont="1" applyFill="1" applyBorder="1" applyAlignment="1">
      <alignment horizontal="center" vertical="center"/>
    </xf>
    <xf numFmtId="3" fontId="13" fillId="0" borderId="1" xfId="20" applyNumberFormat="1" applyFont="1" applyFill="1" applyBorder="1" applyAlignment="1">
      <alignment horizontal="center" vertical="center"/>
    </xf>
    <xf numFmtId="0" fontId="13" fillId="0" borderId="0" xfId="20" applyFont="1" applyFill="1" applyBorder="1" applyAlignment="1">
      <alignment horizontal="center" vertical="center"/>
    </xf>
    <xf numFmtId="0" fontId="13" fillId="0" borderId="0" xfId="20" applyFont="1" applyFill="1" applyAlignment="1">
      <alignment horizontal="center" vertical="center" wrapText="1"/>
    </xf>
    <xf numFmtId="4" fontId="13" fillId="0" borderId="0" xfId="20" applyNumberFormat="1" applyFont="1" applyFill="1" applyAlignment="1">
      <alignment horizontal="center" vertical="center"/>
    </xf>
    <xf numFmtId="0" fontId="24" fillId="0" borderId="0" xfId="8" applyFont="1" applyFill="1" applyAlignment="1">
      <alignment horizontal="center" vertical="center"/>
    </xf>
    <xf numFmtId="4" fontId="24" fillId="0" borderId="1" xfId="5" applyNumberFormat="1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0" fontId="24" fillId="0" borderId="0" xfId="8" applyFont="1" applyFill="1" applyAlignment="1">
      <alignment horizontal="center" vertical="center" wrapText="1"/>
    </xf>
    <xf numFmtId="4" fontId="26" fillId="0" borderId="1" xfId="8" applyNumberFormat="1" applyFont="1" applyFill="1" applyBorder="1" applyAlignment="1">
      <alignment horizontal="center" vertical="center"/>
    </xf>
    <xf numFmtId="43" fontId="24" fillId="0" borderId="1" xfId="22" applyFont="1" applyFill="1" applyBorder="1" applyAlignment="1">
      <alignment horizontal="center" vertical="center" wrapText="1"/>
    </xf>
    <xf numFmtId="43" fontId="24" fillId="0" borderId="1" xfId="8" applyNumberFormat="1" applyFont="1" applyFill="1" applyBorder="1" applyAlignment="1">
      <alignment horizontal="center" vertical="center" wrapText="1"/>
    </xf>
    <xf numFmtId="4" fontId="24" fillId="0" borderId="1" xfId="8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" fontId="13" fillId="0" borderId="1" xfId="21" applyNumberFormat="1" applyFont="1" applyFill="1" applyBorder="1" applyAlignment="1">
      <alignment horizontal="center" vertical="center"/>
    </xf>
    <xf numFmtId="0" fontId="24" fillId="0" borderId="1" xfId="5" applyFont="1" applyFill="1" applyBorder="1" applyAlignment="1">
      <alignment horizontal="center" vertical="center"/>
    </xf>
    <xf numFmtId="0" fontId="24" fillId="0" borderId="6" xfId="5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23" applyFont="1" applyFill="1" applyBorder="1" applyAlignment="1">
      <alignment horizontal="center" vertical="center" wrapText="1"/>
    </xf>
    <xf numFmtId="0" fontId="13" fillId="0" borderId="0" xfId="23" applyFont="1" applyFill="1" applyBorder="1" applyAlignment="1">
      <alignment horizontal="center" vertical="center"/>
    </xf>
    <xf numFmtId="0" fontId="13" fillId="0" borderId="0" xfId="23" applyFont="1" applyFill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8" fillId="0" borderId="6" xfId="5" applyFont="1" applyFill="1" applyBorder="1" applyAlignment="1">
      <alignment horizontal="center" vertical="center" wrapText="1"/>
    </xf>
    <xf numFmtId="0" fontId="26" fillId="0" borderId="1" xfId="23" applyFont="1" applyFill="1" applyBorder="1" applyAlignment="1">
      <alignment horizontal="center" vertical="center"/>
    </xf>
    <xf numFmtId="4" fontId="26" fillId="0" borderId="1" xfId="23" applyNumberFormat="1" applyFont="1" applyFill="1" applyBorder="1" applyAlignment="1">
      <alignment horizontal="center" vertical="center"/>
    </xf>
    <xf numFmtId="3" fontId="26" fillId="0" borderId="1" xfId="23" applyNumberFormat="1" applyFont="1" applyFill="1" applyBorder="1" applyAlignment="1">
      <alignment horizontal="center" vertical="center"/>
    </xf>
    <xf numFmtId="0" fontId="26" fillId="0" borderId="0" xfId="23" applyFont="1" applyFill="1" applyAlignment="1">
      <alignment horizontal="center" vertical="center"/>
    </xf>
    <xf numFmtId="4" fontId="26" fillId="0" borderId="0" xfId="23" applyNumberFormat="1" applyFont="1" applyFill="1" applyAlignment="1">
      <alignment horizontal="center" vertical="center"/>
    </xf>
    <xf numFmtId="0" fontId="35" fillId="0" borderId="0" xfId="23" applyFont="1" applyAlignment="1">
      <alignment vertical="center" wrapText="1"/>
    </xf>
    <xf numFmtId="0" fontId="35" fillId="0" borderId="1" xfId="23" applyFont="1" applyBorder="1" applyAlignment="1">
      <alignment horizontal="center" vertical="center" wrapText="1"/>
    </xf>
    <xf numFmtId="0" fontId="35" fillId="0" borderId="7" xfId="23" applyFont="1" applyBorder="1" applyAlignment="1">
      <alignment horizontal="center" vertical="center" wrapText="1"/>
    </xf>
    <xf numFmtId="4" fontId="35" fillId="0" borderId="7" xfId="23" applyNumberFormat="1" applyFont="1" applyBorder="1" applyAlignment="1">
      <alignment horizontal="center" vertical="center" wrapText="1"/>
    </xf>
    <xf numFmtId="9" fontId="35" fillId="0" borderId="7" xfId="23" applyNumberFormat="1" applyFont="1" applyBorder="1" applyAlignment="1">
      <alignment horizontal="center" vertical="center" wrapText="1"/>
    </xf>
    <xf numFmtId="10" fontId="35" fillId="0" borderId="7" xfId="23" applyNumberFormat="1" applyFont="1" applyBorder="1" applyAlignment="1">
      <alignment horizontal="center" vertical="center" wrapText="1"/>
    </xf>
    <xf numFmtId="0" fontId="35" fillId="0" borderId="0" xfId="23" applyFont="1" applyAlignment="1">
      <alignment horizontal="left" vertical="center" wrapText="1"/>
    </xf>
    <xf numFmtId="9" fontId="35" fillId="0" borderId="1" xfId="23" applyNumberFormat="1" applyFont="1" applyBorder="1" applyAlignment="1">
      <alignment horizontal="center" vertical="center" wrapText="1"/>
    </xf>
    <xf numFmtId="10" fontId="35" fillId="0" borderId="1" xfId="23" applyNumberFormat="1" applyFont="1" applyBorder="1" applyAlignment="1">
      <alignment horizontal="center" vertical="center" wrapText="1"/>
    </xf>
    <xf numFmtId="4" fontId="37" fillId="0" borderId="1" xfId="23" applyNumberFormat="1" applyFont="1" applyBorder="1" applyAlignment="1">
      <alignment horizontal="center" vertical="center" wrapText="1"/>
    </xf>
    <xf numFmtId="0" fontId="35" fillId="0" borderId="6" xfId="23" applyFont="1" applyBorder="1" applyAlignment="1">
      <alignment horizontal="center" vertical="center" wrapText="1"/>
    </xf>
    <xf numFmtId="0" fontId="34" fillId="0" borderId="1" xfId="23" applyFont="1" applyBorder="1" applyAlignment="1">
      <alignment vertical="center" wrapText="1"/>
    </xf>
    <xf numFmtId="0" fontId="33" fillId="0" borderId="1" xfId="23" applyFont="1" applyFill="1" applyBorder="1" applyAlignment="1">
      <alignment horizontal="center" vertical="center" wrapText="1"/>
    </xf>
    <xf numFmtId="0" fontId="35" fillId="0" borderId="7" xfId="23" applyFont="1" applyFill="1" applyBorder="1" applyAlignment="1">
      <alignment horizontal="center" vertical="center" wrapText="1"/>
    </xf>
    <xf numFmtId="43" fontId="35" fillId="0" borderId="7" xfId="26" applyFont="1" applyFill="1" applyBorder="1" applyAlignment="1">
      <alignment horizontal="center" vertical="center" wrapText="1"/>
    </xf>
    <xf numFmtId="0" fontId="35" fillId="0" borderId="1" xfId="23" applyFont="1" applyFill="1" applyBorder="1" applyAlignment="1">
      <alignment horizontal="center" vertical="center" wrapText="1"/>
    </xf>
    <xf numFmtId="43" fontId="35" fillId="0" borderId="1" xfId="26" applyFont="1" applyFill="1" applyBorder="1" applyAlignment="1">
      <alignment horizontal="center" vertical="center" wrapText="1"/>
    </xf>
    <xf numFmtId="0" fontId="33" fillId="0" borderId="7" xfId="23" applyFont="1" applyFill="1" applyBorder="1" applyAlignment="1">
      <alignment horizontal="center" vertical="center" wrapText="1"/>
    </xf>
    <xf numFmtId="0" fontId="33" fillId="0" borderId="11" xfId="23" applyFont="1" applyFill="1" applyBorder="1" applyAlignment="1">
      <alignment horizontal="center" vertical="center" wrapText="1"/>
    </xf>
    <xf numFmtId="0" fontId="35" fillId="0" borderId="6" xfId="23" applyFont="1" applyFill="1" applyBorder="1" applyAlignment="1">
      <alignment horizontal="center" vertical="center" wrapText="1"/>
    </xf>
    <xf numFmtId="43" fontId="35" fillId="0" borderId="6" xfId="26" applyFont="1" applyFill="1" applyBorder="1" applyAlignment="1">
      <alignment horizontal="center" vertical="center" wrapText="1"/>
    </xf>
    <xf numFmtId="4" fontId="35" fillId="0" borderId="11" xfId="23" applyNumberFormat="1" applyFont="1" applyBorder="1" applyAlignment="1">
      <alignment horizontal="center" vertical="center" wrapText="1"/>
    </xf>
    <xf numFmtId="9" fontId="35" fillId="0" borderId="6" xfId="23" applyNumberFormat="1" applyFont="1" applyBorder="1" applyAlignment="1">
      <alignment horizontal="center" vertical="center" wrapText="1"/>
    </xf>
    <xf numFmtId="10" fontId="35" fillId="0" borderId="6" xfId="23" applyNumberFormat="1" applyFont="1" applyBorder="1" applyAlignment="1">
      <alignment horizontal="center" vertical="center" wrapText="1"/>
    </xf>
    <xf numFmtId="4" fontId="35" fillId="0" borderId="6" xfId="23" applyNumberFormat="1" applyFont="1" applyBorder="1" applyAlignment="1">
      <alignment horizontal="center" vertical="center" wrapText="1"/>
    </xf>
    <xf numFmtId="0" fontId="29" fillId="0" borderId="1" xfId="23" applyFont="1" applyFill="1" applyBorder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4" fillId="0" borderId="0" xfId="5" applyFont="1"/>
    <xf numFmtId="0" fontId="24" fillId="0" borderId="5" xfId="5" applyFont="1" applyBorder="1"/>
    <xf numFmtId="43" fontId="16" fillId="0" borderId="1" xfId="3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0" fillId="0" borderId="0" xfId="0"/>
    <xf numFmtId="43" fontId="13" fillId="0" borderId="1" xfId="3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24" fillId="0" borderId="0" xfId="5" applyFont="1" applyAlignment="1">
      <alignment horizontal="center"/>
    </xf>
    <xf numFmtId="0" fontId="33" fillId="0" borderId="0" xfId="5" applyFont="1" applyAlignment="1"/>
    <xf numFmtId="0" fontId="42" fillId="0" borderId="0" xfId="5" applyFont="1"/>
    <xf numFmtId="0" fontId="42" fillId="0" borderId="0" xfId="5" applyFont="1" applyAlignment="1"/>
    <xf numFmtId="0" fontId="42" fillId="0" borderId="0" xfId="5" applyFont="1" applyAlignment="1">
      <alignment horizontal="left"/>
    </xf>
    <xf numFmtId="0" fontId="42" fillId="0" borderId="0" xfId="5" applyFont="1" applyAlignment="1">
      <alignment horizontal="right" vertical="center"/>
    </xf>
    <xf numFmtId="0" fontId="33" fillId="0" borderId="0" xfId="5" applyFont="1" applyAlignment="1">
      <alignment horizontal="left"/>
    </xf>
    <xf numFmtId="0" fontId="38" fillId="0" borderId="0" xfId="5" applyFont="1" applyAlignment="1">
      <alignment horizontal="right" vertical="center"/>
    </xf>
    <xf numFmtId="0" fontId="42" fillId="0" borderId="0" xfId="5" applyFont="1" applyAlignment="1">
      <alignment horizontal="center" vertical="center"/>
    </xf>
    <xf numFmtId="0" fontId="45" fillId="0" borderId="0" xfId="5" applyNumberFormat="1" applyFont="1" applyBorder="1" applyAlignment="1"/>
    <xf numFmtId="0" fontId="33" fillId="0" borderId="0" xfId="5" applyFont="1" applyBorder="1" applyAlignment="1"/>
    <xf numFmtId="0" fontId="42" fillId="0" borderId="0" xfId="5" applyFont="1" applyBorder="1" applyAlignment="1"/>
    <xf numFmtId="0" fontId="42" fillId="0" borderId="0" xfId="5" applyFont="1" applyBorder="1"/>
    <xf numFmtId="0" fontId="33" fillId="0" borderId="0" xfId="5" applyNumberFormat="1" applyFont="1" applyBorder="1" applyAlignment="1"/>
    <xf numFmtId="0" fontId="42" fillId="0" borderId="0" xfId="5" applyNumberFormat="1" applyFont="1" applyBorder="1" applyAlignment="1">
      <alignment horizontal="left"/>
    </xf>
    <xf numFmtId="0" fontId="33" fillId="0" borderId="0" xfId="5" applyFont="1"/>
    <xf numFmtId="0" fontId="33" fillId="0" borderId="0" xfId="0" applyFont="1"/>
    <xf numFmtId="0" fontId="33" fillId="0" borderId="0" xfId="0" applyFont="1" applyAlignment="1">
      <alignment horizontal="right"/>
    </xf>
    <xf numFmtId="0" fontId="22" fillId="0" borderId="0" xfId="0" applyFont="1"/>
    <xf numFmtId="0" fontId="33" fillId="0" borderId="0" xfId="0" applyFont="1" applyAlignment="1">
      <alignment vertical="top"/>
    </xf>
    <xf numFmtId="0" fontId="24" fillId="0" borderId="0" xfId="0" applyFont="1" applyFill="1" applyAlignment="1">
      <alignment wrapText="1"/>
    </xf>
    <xf numFmtId="0" fontId="33" fillId="0" borderId="0" xfId="0" applyFont="1" applyAlignment="1">
      <alignment horizontal="right" wrapText="1"/>
    </xf>
    <xf numFmtId="0" fontId="33" fillId="0" borderId="0" xfId="0" applyFont="1" applyFill="1" applyBorder="1" applyAlignment="1">
      <alignment horizontal="left" wrapText="1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33" fillId="0" borderId="0" xfId="0" applyNumberFormat="1" applyFont="1" applyFill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49" fontId="33" fillId="0" borderId="0" xfId="0" applyNumberFormat="1" applyFont="1" applyFill="1" applyBorder="1" applyAlignment="1">
      <alignment horizontal="center" vertical="top"/>
    </xf>
    <xf numFmtId="0" fontId="29" fillId="0" borderId="0" xfId="0" applyFont="1" applyFill="1" applyAlignment="1">
      <alignment wrapText="1"/>
    </xf>
    <xf numFmtId="0" fontId="33" fillId="0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2" fillId="0" borderId="0" xfId="5" applyFont="1" applyFill="1" applyAlignment="1">
      <alignment wrapText="1" shrinkToFit="1"/>
    </xf>
    <xf numFmtId="4" fontId="22" fillId="0" borderId="0" xfId="5" applyNumberFormat="1" applyFont="1" applyFill="1" applyAlignment="1">
      <alignment horizontal="center" vertical="center" shrinkToFit="1"/>
    </xf>
    <xf numFmtId="0" fontId="22" fillId="0" borderId="0" xfId="5" applyFont="1" applyFill="1" applyAlignment="1">
      <alignment horizontal="center" vertical="center" shrinkToFit="1"/>
    </xf>
    <xf numFmtId="0" fontId="22" fillId="0" borderId="0" xfId="5" applyFont="1" applyFill="1" applyAlignment="1">
      <alignment shrinkToFit="1"/>
    </xf>
    <xf numFmtId="0" fontId="33" fillId="0" borderId="1" xfId="5" applyFont="1" applyBorder="1" applyAlignment="1">
      <alignment horizontal="center" vertical="center" wrapText="1"/>
    </xf>
    <xf numFmtId="0" fontId="50" fillId="0" borderId="1" xfId="46" applyFont="1" applyBorder="1" applyAlignment="1">
      <alignment vertical="center" wrapText="1"/>
    </xf>
    <xf numFmtId="166" fontId="33" fillId="0" borderId="1" xfId="5" applyNumberFormat="1" applyFont="1" applyBorder="1" applyAlignment="1">
      <alignment horizontal="right" vertical="center" wrapText="1"/>
    </xf>
    <xf numFmtId="0" fontId="33" fillId="4" borderId="1" xfId="5" applyFont="1" applyFill="1" applyBorder="1" applyAlignment="1">
      <alignment vertical="center" wrapText="1"/>
    </xf>
    <xf numFmtId="0" fontId="33" fillId="4" borderId="1" xfId="5" applyFont="1" applyFill="1" applyBorder="1" applyAlignment="1">
      <alignment horizontal="center" vertical="center" wrapText="1"/>
    </xf>
    <xf numFmtId="166" fontId="33" fillId="4" borderId="1" xfId="5" applyNumberFormat="1" applyFont="1" applyFill="1" applyBorder="1" applyAlignment="1">
      <alignment horizontal="right" vertical="center" wrapText="1"/>
    </xf>
    <xf numFmtId="0" fontId="33" fillId="0" borderId="1" xfId="5" applyFont="1" applyBorder="1" applyAlignment="1">
      <alignment horizontal="left" vertical="center" wrapText="1" indent="1"/>
    </xf>
    <xf numFmtId="0" fontId="33" fillId="0" borderId="1" xfId="5" applyFont="1" applyBorder="1" applyAlignment="1">
      <alignment horizontal="left" vertical="center" wrapText="1" indent="3"/>
    </xf>
    <xf numFmtId="0" fontId="33" fillId="0" borderId="1" xfId="5" applyFont="1" applyBorder="1" applyAlignment="1">
      <alignment vertical="center" wrapText="1"/>
    </xf>
    <xf numFmtId="166" fontId="24" fillId="0" borderId="0" xfId="5" applyNumberFormat="1" applyFont="1"/>
    <xf numFmtId="0" fontId="50" fillId="0" borderId="1" xfId="46" applyFont="1" applyBorder="1" applyAlignment="1">
      <alignment horizontal="left" vertical="center" wrapText="1" indent="1"/>
    </xf>
    <xf numFmtId="166" fontId="33" fillId="0" borderId="1" xfId="5" applyNumberFormat="1" applyFont="1" applyBorder="1" applyAlignment="1">
      <alignment horizontal="center" vertical="center" wrapText="1"/>
    </xf>
    <xf numFmtId="0" fontId="33" fillId="0" borderId="1" xfId="5" applyFont="1" applyBorder="1" applyAlignment="1">
      <alignment horizontal="left" vertical="center" wrapText="1" indent="4"/>
    </xf>
    <xf numFmtId="0" fontId="50" fillId="0" borderId="1" xfId="46" applyFont="1" applyBorder="1" applyAlignment="1">
      <alignment horizontal="left" vertical="center" wrapText="1" indent="3"/>
    </xf>
    <xf numFmtId="0" fontId="33" fillId="0" borderId="5" xfId="5" applyFont="1" applyBorder="1" applyAlignment="1">
      <alignment horizontal="justify" vertical="center"/>
    </xf>
    <xf numFmtId="0" fontId="24" fillId="0" borderId="0" xfId="5" applyFont="1" applyBorder="1"/>
    <xf numFmtId="0" fontId="33" fillId="0" borderId="0" xfId="5" applyFont="1" applyAlignment="1">
      <alignment horizontal="justify" vertical="center"/>
    </xf>
    <xf numFmtId="0" fontId="50" fillId="0" borderId="1" xfId="46" applyFont="1" applyBorder="1" applyAlignment="1">
      <alignment horizontal="left" vertical="center" wrapText="1" indent="4"/>
    </xf>
    <xf numFmtId="0" fontId="38" fillId="0" borderId="0" xfId="5" applyFont="1" applyAlignment="1">
      <alignment horizontal="justify" vertical="center"/>
    </xf>
    <xf numFmtId="0" fontId="33" fillId="0" borderId="0" xfId="5" applyFont="1" applyAlignment="1">
      <alignment vertical="center"/>
    </xf>
    <xf numFmtId="0" fontId="33" fillId="0" borderId="5" xfId="5" applyFont="1" applyBorder="1"/>
    <xf numFmtId="0" fontId="24" fillId="0" borderId="0" xfId="5" applyFont="1" applyAlignment="1">
      <alignment vertical="center"/>
    </xf>
    <xf numFmtId="0" fontId="22" fillId="0" borderId="0" xfId="5" applyFont="1" applyAlignment="1">
      <alignment horizontal="justify" vertical="center"/>
    </xf>
    <xf numFmtId="0" fontId="24" fillId="0" borderId="15" xfId="5" applyNumberFormat="1" applyFont="1" applyBorder="1" applyAlignment="1">
      <alignment horizontal="left"/>
    </xf>
    <xf numFmtId="0" fontId="24" fillId="0" borderId="16" xfId="5" applyNumberFormat="1" applyFont="1" applyBorder="1" applyAlignment="1">
      <alignment horizontal="left"/>
    </xf>
    <xf numFmtId="0" fontId="24" fillId="0" borderId="17" xfId="5" applyNumberFormat="1" applyFont="1" applyBorder="1" applyAlignment="1">
      <alignment horizontal="left"/>
    </xf>
    <xf numFmtId="0" fontId="24" fillId="0" borderId="0" xfId="5" applyNumberFormat="1" applyFont="1" applyBorder="1" applyAlignment="1">
      <alignment horizontal="left"/>
    </xf>
    <xf numFmtId="0" fontId="38" fillId="0" borderId="18" xfId="5" applyNumberFormat="1" applyFont="1" applyBorder="1" applyAlignment="1">
      <alignment horizontal="left"/>
    </xf>
    <xf numFmtId="0" fontId="24" fillId="0" borderId="19" xfId="5" applyNumberFormat="1" applyFont="1" applyBorder="1" applyAlignment="1">
      <alignment horizontal="left"/>
    </xf>
    <xf numFmtId="0" fontId="24" fillId="0" borderId="20" xfId="5" applyNumberFormat="1" applyFont="1" applyBorder="1" applyAlignment="1"/>
    <xf numFmtId="0" fontId="24" fillId="0" borderId="5" xfId="5" applyNumberFormat="1" applyFont="1" applyBorder="1" applyAlignment="1"/>
    <xf numFmtId="0" fontId="24" fillId="0" borderId="21" xfId="5" applyNumberFormat="1" applyFont="1" applyBorder="1" applyAlignment="1"/>
    <xf numFmtId="0" fontId="24" fillId="0" borderId="18" xfId="5" applyNumberFormat="1" applyFont="1" applyBorder="1" applyAlignment="1">
      <alignment horizontal="center" vertical="top"/>
    </xf>
    <xf numFmtId="0" fontId="24" fillId="0" borderId="0" xfId="5" applyNumberFormat="1" applyFont="1" applyBorder="1" applyAlignment="1">
      <alignment horizontal="center" vertical="top"/>
    </xf>
    <xf numFmtId="0" fontId="24" fillId="0" borderId="19" xfId="5" applyNumberFormat="1" applyFont="1" applyBorder="1" applyAlignment="1">
      <alignment horizontal="center" vertical="top"/>
    </xf>
    <xf numFmtId="0" fontId="24" fillId="0" borderId="22" xfId="5" applyNumberFormat="1" applyFont="1" applyBorder="1" applyAlignment="1">
      <alignment horizontal="center" vertical="top"/>
    </xf>
    <xf numFmtId="0" fontId="24" fillId="0" borderId="18" xfId="5" applyNumberFormat="1" applyFont="1" applyBorder="1" applyAlignment="1">
      <alignment horizontal="left"/>
    </xf>
    <xf numFmtId="0" fontId="24" fillId="0" borderId="18" xfId="5" applyNumberFormat="1" applyFont="1" applyBorder="1" applyAlignment="1"/>
    <xf numFmtId="49" fontId="24" fillId="0" borderId="0" xfId="5" applyNumberFormat="1" applyFont="1" applyBorder="1" applyAlignment="1"/>
    <xf numFmtId="0" fontId="24" fillId="0" borderId="24" xfId="5" applyNumberFormat="1" applyFont="1" applyBorder="1" applyAlignment="1">
      <alignment horizontal="left"/>
    </xf>
    <xf numFmtId="0" fontId="24" fillId="0" borderId="25" xfId="5" applyNumberFormat="1" applyFont="1" applyBorder="1" applyAlignment="1">
      <alignment horizontal="left"/>
    </xf>
    <xf numFmtId="0" fontId="24" fillId="0" borderId="26" xfId="5" applyNumberFormat="1" applyFont="1" applyBorder="1" applyAlignment="1">
      <alignment horizontal="left"/>
    </xf>
    <xf numFmtId="0" fontId="44" fillId="0" borderId="0" xfId="5" applyFont="1" applyBorder="1" applyAlignment="1">
      <alignment horizontal="center" vertical="center"/>
    </xf>
    <xf numFmtId="0" fontId="24" fillId="0" borderId="0" xfId="5" applyFont="1" applyAlignment="1">
      <alignment horizontal="right" vertical="center"/>
    </xf>
    <xf numFmtId="0" fontId="24" fillId="5" borderId="0" xfId="5" applyFont="1" applyFill="1" applyAlignment="1">
      <alignment vertical="center"/>
    </xf>
    <xf numFmtId="0" fontId="26" fillId="0" borderId="0" xfId="5" applyFont="1" applyBorder="1" applyAlignment="1">
      <alignment horizontal="center" vertical="center" wrapText="1"/>
    </xf>
    <xf numFmtId="0" fontId="26" fillId="5" borderId="1" xfId="5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4" borderId="7" xfId="5" applyFont="1" applyFill="1" applyBorder="1" applyAlignment="1">
      <alignment horizontal="center" vertical="center" wrapText="1"/>
    </xf>
    <xf numFmtId="0" fontId="26" fillId="4" borderId="7" xfId="5" applyFont="1" applyFill="1" applyBorder="1" applyAlignment="1">
      <alignment vertical="center" wrapText="1"/>
    </xf>
    <xf numFmtId="0" fontId="24" fillId="4" borderId="1" xfId="5" applyFont="1" applyFill="1" applyBorder="1" applyAlignment="1">
      <alignment horizontal="right" vertical="center"/>
    </xf>
    <xf numFmtId="166" fontId="24" fillId="4" borderId="1" xfId="5" applyNumberFormat="1" applyFont="1" applyFill="1" applyBorder="1" applyAlignment="1">
      <alignment horizontal="right" vertical="center"/>
    </xf>
    <xf numFmtId="0" fontId="24" fillId="4" borderId="0" xfId="5" applyFont="1" applyFill="1" applyAlignment="1">
      <alignment horizontal="right" vertical="center"/>
    </xf>
    <xf numFmtId="0" fontId="24" fillId="4" borderId="0" xfId="5" applyFont="1" applyFill="1" applyAlignment="1">
      <alignment vertical="center"/>
    </xf>
    <xf numFmtId="0" fontId="26" fillId="0" borderId="1" xfId="5" applyFont="1" applyBorder="1" applyAlignment="1">
      <alignment vertical="center" wrapText="1"/>
    </xf>
    <xf numFmtId="0" fontId="24" fillId="0" borderId="1" xfId="5" applyFont="1" applyBorder="1" applyAlignment="1">
      <alignment horizontal="right" vertical="center"/>
    </xf>
    <xf numFmtId="166" fontId="24" fillId="0" borderId="1" xfId="5" applyNumberFormat="1" applyFont="1" applyBorder="1" applyAlignment="1">
      <alignment horizontal="right" vertical="center"/>
    </xf>
    <xf numFmtId="166" fontId="24" fillId="5" borderId="1" xfId="5" applyNumberFormat="1" applyFont="1" applyFill="1" applyBorder="1" applyAlignment="1">
      <alignment horizontal="right" vertical="center"/>
    </xf>
    <xf numFmtId="0" fontId="26" fillId="4" borderId="1" xfId="5" applyFont="1" applyFill="1" applyBorder="1" applyAlignment="1">
      <alignment horizontal="center" vertical="center" wrapText="1"/>
    </xf>
    <xf numFmtId="0" fontId="26" fillId="4" borderId="1" xfId="5" applyFont="1" applyFill="1" applyBorder="1" applyAlignment="1">
      <alignment vertical="center" wrapText="1"/>
    </xf>
    <xf numFmtId="0" fontId="26" fillId="0" borderId="1" xfId="5" applyFont="1" applyBorder="1" applyAlignment="1">
      <alignment horizontal="right" vertical="center" wrapText="1"/>
    </xf>
    <xf numFmtId="0" fontId="26" fillId="0" borderId="1" xfId="5" applyFont="1" applyBorder="1" applyAlignment="1">
      <alignment horizontal="left" vertical="center" wrapText="1"/>
    </xf>
    <xf numFmtId="0" fontId="26" fillId="0" borderId="1" xfId="5" applyFont="1" applyFill="1" applyBorder="1" applyAlignment="1">
      <alignment vertical="center" wrapText="1"/>
    </xf>
    <xf numFmtId="0" fontId="26" fillId="0" borderId="1" xfId="5" applyFont="1" applyFill="1" applyBorder="1" applyAlignment="1">
      <alignment horizontal="right" vertical="center" wrapText="1"/>
    </xf>
    <xf numFmtId="0" fontId="26" fillId="0" borderId="1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right" vertical="center"/>
    </xf>
    <xf numFmtId="166" fontId="24" fillId="0" borderId="1" xfId="5" applyNumberFormat="1" applyFont="1" applyFill="1" applyBorder="1" applyAlignment="1">
      <alignment horizontal="right" vertical="center"/>
    </xf>
    <xf numFmtId="0" fontId="24" fillId="0" borderId="0" xfId="5" applyFont="1" applyFill="1" applyAlignment="1">
      <alignment horizontal="right" vertical="center"/>
    </xf>
    <xf numFmtId="0" fontId="24" fillId="0" borderId="0" xfId="5" applyFont="1" applyFill="1" applyAlignment="1">
      <alignment vertical="center"/>
    </xf>
    <xf numFmtId="166" fontId="29" fillId="4" borderId="1" xfId="5" applyNumberFormat="1" applyFont="1" applyFill="1" applyBorder="1" applyAlignment="1">
      <alignment horizontal="right" vertical="center"/>
    </xf>
    <xf numFmtId="166" fontId="24" fillId="0" borderId="0" xfId="5" applyNumberFormat="1" applyFont="1" applyAlignment="1">
      <alignment horizontal="right" vertical="center"/>
    </xf>
    <xf numFmtId="166" fontId="24" fillId="5" borderId="1" xfId="5" applyNumberFormat="1" applyFont="1" applyFill="1" applyBorder="1" applyAlignment="1">
      <alignment vertical="center"/>
    </xf>
    <xf numFmtId="0" fontId="27" fillId="6" borderId="1" xfId="5" applyFont="1" applyFill="1" applyBorder="1" applyAlignment="1">
      <alignment horizontal="center" vertical="center" wrapText="1"/>
    </xf>
    <xf numFmtId="0" fontId="27" fillId="6" borderId="1" xfId="5" applyFont="1" applyFill="1" applyBorder="1" applyAlignment="1">
      <alignment vertical="center" wrapText="1"/>
    </xf>
    <xf numFmtId="0" fontId="29" fillId="6" borderId="1" xfId="5" applyFont="1" applyFill="1" applyBorder="1" applyAlignment="1">
      <alignment horizontal="right" vertical="center"/>
    </xf>
    <xf numFmtId="166" fontId="29" fillId="6" borderId="1" xfId="5" applyNumberFormat="1" applyFont="1" applyFill="1" applyBorder="1" applyAlignment="1">
      <alignment horizontal="right" vertical="center"/>
    </xf>
    <xf numFmtId="166" fontId="29" fillId="5" borderId="1" xfId="5" applyNumberFormat="1" applyFont="1" applyFill="1" applyBorder="1" applyAlignment="1">
      <alignment horizontal="right" vertical="center"/>
    </xf>
    <xf numFmtId="166" fontId="29" fillId="6" borderId="0" xfId="5" applyNumberFormat="1" applyFont="1" applyFill="1" applyAlignment="1">
      <alignment horizontal="right" vertical="center"/>
    </xf>
    <xf numFmtId="0" fontId="29" fillId="6" borderId="0" xfId="5" applyFont="1" applyFill="1" applyAlignment="1">
      <alignment vertical="center"/>
    </xf>
    <xf numFmtId="0" fontId="26" fillId="6" borderId="1" xfId="5" applyFont="1" applyFill="1" applyBorder="1" applyAlignment="1">
      <alignment vertical="center" wrapText="1"/>
    </xf>
    <xf numFmtId="0" fontId="26" fillId="6" borderId="1" xfId="5" applyFont="1" applyFill="1" applyBorder="1" applyAlignment="1">
      <alignment horizontal="center" vertical="center" wrapText="1"/>
    </xf>
    <xf numFmtId="0" fontId="24" fillId="6" borderId="1" xfId="5" applyFont="1" applyFill="1" applyBorder="1" applyAlignment="1">
      <alignment horizontal="right" vertical="center"/>
    </xf>
    <xf numFmtId="166" fontId="24" fillId="6" borderId="1" xfId="5" applyNumberFormat="1" applyFont="1" applyFill="1" applyBorder="1" applyAlignment="1">
      <alignment horizontal="right" vertical="center"/>
    </xf>
    <xf numFmtId="0" fontId="24" fillId="6" borderId="0" xfId="5" applyFont="1" applyFill="1" applyAlignment="1">
      <alignment horizontal="right" vertical="center"/>
    </xf>
    <xf numFmtId="0" fontId="24" fillId="6" borderId="0" xfId="5" applyFont="1" applyFill="1" applyAlignment="1">
      <alignment vertical="center"/>
    </xf>
    <xf numFmtId="166" fontId="24" fillId="6" borderId="0" xfId="5" applyNumberFormat="1" applyFont="1" applyFill="1" applyAlignment="1">
      <alignment horizontal="right" vertical="center"/>
    </xf>
    <xf numFmtId="0" fontId="50" fillId="6" borderId="1" xfId="46" applyFont="1" applyFill="1" applyBorder="1" applyAlignment="1">
      <alignment vertical="center" wrapText="1"/>
    </xf>
    <xf numFmtId="0" fontId="26" fillId="7" borderId="1" xfId="5" applyFont="1" applyFill="1" applyBorder="1" applyAlignment="1">
      <alignment horizontal="center" vertical="center" wrapText="1"/>
    </xf>
    <xf numFmtId="0" fontId="26" fillId="7" borderId="1" xfId="5" applyFont="1" applyFill="1" applyBorder="1" applyAlignment="1">
      <alignment vertical="center" wrapText="1"/>
    </xf>
    <xf numFmtId="0" fontId="24" fillId="7" borderId="1" xfId="5" applyFont="1" applyFill="1" applyBorder="1" applyAlignment="1">
      <alignment horizontal="right" vertical="center"/>
    </xf>
    <xf numFmtId="166" fontId="24" fillId="7" borderId="1" xfId="5" applyNumberFormat="1" applyFont="1" applyFill="1" applyBorder="1" applyAlignment="1">
      <alignment horizontal="right" vertical="center"/>
    </xf>
    <xf numFmtId="0" fontId="24" fillId="7" borderId="0" xfId="5" applyFont="1" applyFill="1" applyAlignment="1">
      <alignment horizontal="right" vertical="center"/>
    </xf>
    <xf numFmtId="0" fontId="24" fillId="7" borderId="0" xfId="5" applyFont="1" applyFill="1" applyAlignment="1">
      <alignment vertical="center"/>
    </xf>
    <xf numFmtId="0" fontId="33" fillId="0" borderId="0" xfId="5" applyNumberFormat="1" applyFont="1" applyBorder="1" applyAlignment="1">
      <alignment horizontal="left"/>
    </xf>
    <xf numFmtId="0" fontId="22" fillId="0" borderId="0" xfId="5" applyNumberFormat="1" applyFont="1" applyBorder="1" applyAlignment="1">
      <alignment horizontal="left"/>
    </xf>
    <xf numFmtId="0" fontId="24" fillId="0" borderId="0" xfId="5" applyNumberFormat="1" applyFont="1" applyBorder="1" applyAlignment="1">
      <alignment horizontal="left" vertical="top"/>
    </xf>
    <xf numFmtId="0" fontId="24" fillId="0" borderId="0" xfId="5" applyNumberFormat="1" applyFont="1" applyBorder="1" applyAlignment="1">
      <alignment horizontal="left" vertical="center"/>
    </xf>
    <xf numFmtId="0" fontId="24" fillId="0" borderId="0" xfId="5" applyNumberFormat="1" applyFont="1" applyBorder="1" applyAlignment="1">
      <alignment horizontal="center" vertical="center" wrapText="1"/>
    </xf>
    <xf numFmtId="0" fontId="24" fillId="0" borderId="0" xfId="5" applyFont="1" applyAlignment="1">
      <alignment horizontal="left"/>
    </xf>
    <xf numFmtId="0" fontId="24" fillId="0" borderId="0" xfId="5" applyNumberFormat="1" applyFont="1" applyBorder="1" applyAlignment="1">
      <alignment horizontal="left" vertical="center" wrapText="1"/>
    </xf>
    <xf numFmtId="0" fontId="24" fillId="0" borderId="2" xfId="5" applyNumberFormat="1" applyFont="1" applyBorder="1" applyAlignment="1">
      <alignment horizontal="left" vertical="center" wrapText="1"/>
    </xf>
    <xf numFmtId="0" fontId="24" fillId="0" borderId="14" xfId="5" applyNumberFormat="1" applyFont="1" applyBorder="1" applyAlignment="1">
      <alignment horizontal="left" vertical="center" wrapText="1"/>
    </xf>
    <xf numFmtId="0" fontId="24" fillId="0" borderId="8" xfId="5" applyNumberFormat="1" applyFont="1" applyBorder="1" applyAlignment="1">
      <alignment horizontal="left" vertical="center" wrapText="1"/>
    </xf>
    <xf numFmtId="4" fontId="24" fillId="0" borderId="0" xfId="5" applyNumberFormat="1" applyFont="1" applyBorder="1" applyAlignment="1">
      <alignment horizontal="left" vertical="center"/>
    </xf>
    <xf numFmtId="4" fontId="33" fillId="0" borderId="0" xfId="5" applyNumberFormat="1" applyFont="1" applyBorder="1" applyAlignment="1">
      <alignment horizontal="left"/>
    </xf>
    <xf numFmtId="4" fontId="29" fillId="0" borderId="0" xfId="5" applyNumberFormat="1" applyFont="1" applyBorder="1" applyAlignment="1">
      <alignment horizontal="left"/>
    </xf>
    <xf numFmtId="4" fontId="24" fillId="0" borderId="0" xfId="5" applyNumberFormat="1" applyFont="1" applyBorder="1" applyAlignment="1">
      <alignment horizontal="left"/>
    </xf>
    <xf numFmtId="4" fontId="24" fillId="0" borderId="0" xfId="5" applyNumberFormat="1" applyFont="1" applyAlignment="1">
      <alignment horizontal="left"/>
    </xf>
    <xf numFmtId="4" fontId="24" fillId="0" borderId="0" xfId="5" applyNumberFormat="1" applyFont="1" applyBorder="1" applyAlignment="1">
      <alignment horizontal="left" vertical="center" wrapText="1"/>
    </xf>
    <xf numFmtId="49" fontId="24" fillId="0" borderId="0" xfId="5" applyNumberFormat="1" applyFont="1" applyBorder="1" applyAlignment="1">
      <alignment horizontal="center" vertical="center"/>
    </xf>
    <xf numFmtId="49" fontId="24" fillId="0" borderId="0" xfId="5" applyNumberFormat="1" applyFont="1" applyBorder="1" applyAlignment="1">
      <alignment horizontal="right" vertical="center"/>
    </xf>
    <xf numFmtId="0" fontId="24" fillId="0" borderId="0" xfId="5" applyNumberFormat="1" applyFont="1" applyBorder="1" applyAlignment="1">
      <alignment horizontal="center" vertical="center"/>
    </xf>
    <xf numFmtId="4" fontId="29" fillId="0" borderId="0" xfId="5" applyNumberFormat="1" applyFont="1" applyBorder="1" applyAlignment="1">
      <alignment horizontal="center" vertical="center"/>
    </xf>
    <xf numFmtId="49" fontId="24" fillId="0" borderId="10" xfId="5" applyNumberFormat="1" applyFont="1" applyBorder="1" applyAlignment="1">
      <alignment horizontal="center" vertical="center"/>
    </xf>
    <xf numFmtId="49" fontId="24" fillId="0" borderId="10" xfId="5" applyNumberFormat="1" applyFont="1" applyBorder="1" applyAlignment="1">
      <alignment horizontal="right" vertical="center"/>
    </xf>
    <xf numFmtId="0" fontId="24" fillId="0" borderId="10" xfId="5" applyNumberFormat="1" applyFont="1" applyBorder="1" applyAlignment="1">
      <alignment horizontal="center" vertical="center"/>
    </xf>
    <xf numFmtId="0" fontId="29" fillId="0" borderId="10" xfId="5" applyNumberFormat="1" applyFont="1" applyBorder="1" applyAlignment="1">
      <alignment horizontal="center" vertical="center"/>
    </xf>
    <xf numFmtId="49" fontId="24" fillId="0" borderId="0" xfId="5" applyNumberFormat="1" applyFont="1" applyBorder="1" applyAlignment="1">
      <alignment horizontal="left"/>
    </xf>
    <xf numFmtId="49" fontId="22" fillId="0" borderId="0" xfId="5" applyNumberFormat="1" applyFont="1" applyBorder="1" applyAlignment="1">
      <alignment horizontal="left"/>
    </xf>
    <xf numFmtId="4" fontId="33" fillId="3" borderId="0" xfId="5" applyNumberFormat="1" applyFont="1" applyFill="1" applyAlignment="1">
      <alignment horizontal="center" vertical="center" shrinkToFit="1"/>
    </xf>
    <xf numFmtId="4" fontId="33" fillId="0" borderId="0" xfId="5" applyNumberFormat="1" applyFont="1" applyFill="1" applyAlignment="1">
      <alignment horizontal="center" vertical="center" shrinkToFit="1"/>
    </xf>
    <xf numFmtId="0" fontId="0" fillId="3" borderId="0" xfId="0" applyFill="1"/>
    <xf numFmtId="4" fontId="14" fillId="4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 wrapText="1"/>
    </xf>
    <xf numFmtId="4" fontId="13" fillId="0" borderId="0" xfId="0" applyNumberFormat="1" applyFont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0" xfId="60" applyFont="1" applyFill="1" applyAlignment="1">
      <alignment horizontal="center"/>
    </xf>
    <xf numFmtId="0" fontId="24" fillId="0" borderId="0" xfId="60" applyFont="1" applyFill="1"/>
    <xf numFmtId="0" fontId="38" fillId="0" borderId="0" xfId="60" applyFont="1" applyFill="1" applyAlignment="1">
      <alignment horizontal="left"/>
    </xf>
    <xf numFmtId="0" fontId="24" fillId="0" borderId="0" xfId="60" applyFont="1" applyFill="1" applyBorder="1" applyAlignment="1">
      <alignment horizontal="center"/>
    </xf>
    <xf numFmtId="0" fontId="24" fillId="0" borderId="0" xfId="60" applyFont="1" applyFill="1" applyBorder="1"/>
    <xf numFmtId="0" fontId="24" fillId="0" borderId="9" xfId="60" applyFont="1" applyFill="1" applyBorder="1"/>
    <xf numFmtId="0" fontId="24" fillId="0" borderId="1" xfId="60" applyFont="1" applyFill="1" applyBorder="1" applyAlignment="1">
      <alignment horizontal="center" vertical="center" wrapText="1"/>
    </xf>
    <xf numFmtId="0" fontId="41" fillId="0" borderId="1" xfId="60" applyFont="1" applyFill="1" applyBorder="1" applyAlignment="1">
      <alignment horizontal="center" vertical="center" wrapText="1"/>
    </xf>
    <xf numFmtId="0" fontId="24" fillId="0" borderId="1" xfId="60" applyFont="1" applyFill="1" applyBorder="1" applyAlignment="1">
      <alignment horizontal="center"/>
    </xf>
    <xf numFmtId="4" fontId="24" fillId="0" borderId="1" xfId="60" applyNumberFormat="1" applyFont="1" applyFill="1" applyBorder="1" applyAlignment="1">
      <alignment horizontal="center"/>
    </xf>
    <xf numFmtId="4" fontId="24" fillId="0" borderId="1" xfId="60" applyNumberFormat="1" applyFont="1" applyFill="1" applyBorder="1" applyAlignment="1">
      <alignment horizontal="center" vertical="center"/>
    </xf>
    <xf numFmtId="4" fontId="24" fillId="0" borderId="1" xfId="60" applyNumberFormat="1" applyFont="1" applyFill="1" applyBorder="1" applyAlignment="1"/>
    <xf numFmtId="4" fontId="24" fillId="0" borderId="0" xfId="60" applyNumberFormat="1" applyFont="1" applyFill="1"/>
    <xf numFmtId="0" fontId="24" fillId="0" borderId="1" xfId="60" applyFont="1" applyFill="1" applyBorder="1"/>
    <xf numFmtId="0" fontId="24" fillId="0" borderId="0" xfId="60" applyFont="1" applyFill="1" applyAlignment="1"/>
    <xf numFmtId="0" fontId="24" fillId="0" borderId="0" xfId="7" applyFont="1"/>
    <xf numFmtId="0" fontId="24" fillId="0" borderId="1" xfId="7" applyFont="1" applyBorder="1" applyAlignment="1">
      <alignment horizontal="center" vertical="center" wrapText="1"/>
    </xf>
    <xf numFmtId="4" fontId="24" fillId="0" borderId="1" xfId="7" applyNumberFormat="1" applyFont="1" applyFill="1" applyBorder="1" applyAlignment="1"/>
    <xf numFmtId="1" fontId="24" fillId="0" borderId="1" xfId="7" applyNumberFormat="1" applyFont="1" applyFill="1" applyBorder="1" applyAlignment="1">
      <alignment horizontal="center"/>
    </xf>
    <xf numFmtId="0" fontId="24" fillId="0" borderId="0" xfId="7" applyFont="1" applyFill="1"/>
    <xf numFmtId="4" fontId="24" fillId="0" borderId="0" xfId="7" applyNumberFormat="1" applyFont="1"/>
    <xf numFmtId="0" fontId="29" fillId="6" borderId="0" xfId="5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3" fillId="0" borderId="4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4" fontId="14" fillId="7" borderId="1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64" applyFont="1" applyFill="1" applyAlignment="1">
      <alignment horizontal="center" vertical="center"/>
    </xf>
    <xf numFmtId="0" fontId="24" fillId="0" borderId="1" xfId="64" applyFont="1" applyFill="1" applyBorder="1" applyAlignment="1">
      <alignment horizontal="center" vertical="center" wrapText="1"/>
    </xf>
    <xf numFmtId="0" fontId="24" fillId="0" borderId="1" xfId="64" applyNumberFormat="1" applyFont="1" applyFill="1" applyBorder="1" applyAlignment="1">
      <alignment horizontal="center" vertical="center" wrapText="1"/>
    </xf>
    <xf numFmtId="2" fontId="24" fillId="0" borderId="1" xfId="6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wrapText="1"/>
    </xf>
    <xf numFmtId="3" fontId="13" fillId="0" borderId="1" xfId="0" applyNumberFormat="1" applyFont="1" applyFill="1" applyBorder="1" applyAlignment="1">
      <alignment horizontal="center" wrapText="1"/>
    </xf>
    <xf numFmtId="0" fontId="41" fillId="0" borderId="1" xfId="62" applyNumberFormat="1" applyFont="1" applyFill="1" applyBorder="1" applyAlignment="1">
      <alignment horizontal="left" vertical="top"/>
    </xf>
    <xf numFmtId="4" fontId="24" fillId="0" borderId="1" xfId="12" applyNumberFormat="1" applyFont="1" applyFill="1" applyBorder="1" applyAlignment="1">
      <alignment horizontal="center"/>
    </xf>
    <xf numFmtId="4" fontId="24" fillId="0" borderId="6" xfId="60" applyNumberFormat="1" applyFont="1" applyFill="1" applyBorder="1" applyAlignment="1"/>
    <xf numFmtId="4" fontId="13" fillId="0" borderId="1" xfId="0" applyNumberFormat="1" applyFont="1" applyBorder="1" applyAlignment="1">
      <alignment horizontal="center"/>
    </xf>
    <xf numFmtId="4" fontId="14" fillId="0" borderId="0" xfId="17" applyNumberFormat="1" applyFont="1" applyFill="1" applyBorder="1" applyAlignment="1">
      <alignment horizontal="center" vertical="center"/>
    </xf>
    <xf numFmtId="166" fontId="33" fillId="0" borderId="1" xfId="5" applyNumberFormat="1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" fontId="14" fillId="7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4" fillId="0" borderId="1" xfId="20" applyNumberFormat="1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1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33" fillId="0" borderId="1" xfId="0" applyFont="1" applyFill="1" applyBorder="1" applyAlignment="1">
      <alignment horizontal="left" vertical="center" wrapText="1"/>
    </xf>
    <xf numFmtId="4" fontId="27" fillId="0" borderId="1" xfId="23" applyNumberFormat="1" applyFont="1" applyFill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0" fillId="0" borderId="0" xfId="0" applyBorder="1"/>
    <xf numFmtId="0" fontId="33" fillId="0" borderId="6" xfId="23" applyFont="1" applyFill="1" applyBorder="1" applyAlignment="1">
      <alignment horizontal="center" vertical="center" wrapText="1"/>
    </xf>
    <xf numFmtId="4" fontId="24" fillId="3" borderId="1" xfId="60" applyNumberFormat="1" applyFont="1" applyFill="1" applyBorder="1" applyAlignment="1">
      <alignment horizontal="center"/>
    </xf>
    <xf numFmtId="0" fontId="29" fillId="0" borderId="1" xfId="8" applyFont="1" applyFill="1" applyBorder="1" applyAlignment="1">
      <alignment horizontal="center" vertical="center"/>
    </xf>
    <xf numFmtId="0" fontId="29" fillId="0" borderId="1" xfId="8" applyFont="1" applyFill="1" applyBorder="1" applyAlignment="1">
      <alignment horizontal="center" vertical="center" wrapText="1"/>
    </xf>
    <xf numFmtId="43" fontId="29" fillId="0" borderId="1" xfId="8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7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24" fillId="0" borderId="0" xfId="8" applyFont="1" applyFill="1" applyAlignment="1">
      <alignment horizontal="center" vertical="center" wrapText="1"/>
    </xf>
    <xf numFmtId="0" fontId="24" fillId="0" borderId="0" xfId="8" applyFont="1" applyFill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1" xfId="18" applyFont="1" applyFill="1" applyBorder="1" applyAlignment="1">
      <alignment horizontal="center" vertical="center"/>
    </xf>
    <xf numFmtId="0" fontId="47" fillId="0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33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38" fillId="3" borderId="1" xfId="0" applyFont="1" applyFill="1" applyBorder="1" applyAlignment="1">
      <alignment horizontal="center" vertical="center" wrapText="1"/>
    </xf>
    <xf numFmtId="4" fontId="38" fillId="3" borderId="1" xfId="12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4" fontId="38" fillId="2" borderId="1" xfId="12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0" fontId="0" fillId="2" borderId="0" xfId="0" applyFill="1"/>
    <xf numFmtId="3" fontId="13" fillId="2" borderId="1" xfId="0" applyNumberFormat="1" applyFont="1" applyFill="1" applyBorder="1" applyAlignment="1">
      <alignment horizontal="center" wrapText="1"/>
    </xf>
    <xf numFmtId="0" fontId="38" fillId="2" borderId="5" xfId="0" applyFont="1" applyFill="1" applyBorder="1" applyAlignment="1">
      <alignment horizontal="center" vertical="center" wrapText="1"/>
    </xf>
    <xf numFmtId="4" fontId="13" fillId="0" borderId="1" xfId="2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center" wrapText="1"/>
    </xf>
    <xf numFmtId="0" fontId="43" fillId="0" borderId="1" xfId="0" applyFont="1" applyBorder="1" applyAlignment="1">
      <alignment horizontal="right"/>
    </xf>
    <xf numFmtId="0" fontId="43" fillId="0" borderId="0" xfId="0" applyFont="1"/>
    <xf numFmtId="4" fontId="1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43" fontId="13" fillId="0" borderId="1" xfId="1" applyFont="1" applyBorder="1" applyAlignment="1">
      <alignment horizontal="right" vertical="center"/>
    </xf>
    <xf numFmtId="4" fontId="43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1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1" xfId="0" applyFont="1" applyFill="1" applyBorder="1" applyAlignment="1">
      <alignment horizontal="right" vertical="center"/>
    </xf>
    <xf numFmtId="0" fontId="13" fillId="0" borderId="1" xfId="0" applyNumberFormat="1" applyFont="1" applyBorder="1" applyAlignment="1">
      <alignment horizontal="left" vertical="center" wrapText="1"/>
    </xf>
    <xf numFmtId="0" fontId="33" fillId="0" borderId="27" xfId="0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center" wrapText="1"/>
    </xf>
    <xf numFmtId="0" fontId="33" fillId="0" borderId="27" xfId="0" applyNumberFormat="1" applyFont="1" applyFill="1" applyBorder="1" applyAlignment="1">
      <alignment horizontal="left" vertical="center" wrapText="1"/>
    </xf>
    <xf numFmtId="4" fontId="13" fillId="0" borderId="1" xfId="8" applyNumberFormat="1" applyFont="1" applyFill="1" applyBorder="1" applyAlignment="1">
      <alignment horizontal="center" vertical="center" wrapText="1"/>
    </xf>
    <xf numFmtId="4" fontId="13" fillId="0" borderId="1" xfId="8" applyNumberFormat="1" applyFont="1" applyFill="1" applyBorder="1" applyAlignment="1">
      <alignment horizontal="center" vertical="center"/>
    </xf>
    <xf numFmtId="0" fontId="33" fillId="0" borderId="1" xfId="8" applyFont="1" applyFill="1" applyBorder="1" applyAlignment="1">
      <alignment horizontal="center" vertical="center"/>
    </xf>
    <xf numFmtId="43" fontId="33" fillId="0" borderId="1" xfId="1" applyFont="1" applyFill="1" applyBorder="1" applyAlignment="1">
      <alignment horizontal="center" vertical="center"/>
    </xf>
    <xf numFmtId="4" fontId="29" fillId="0" borderId="1" xfId="8" applyNumberFormat="1" applyFont="1" applyFill="1" applyBorder="1" applyAlignment="1">
      <alignment horizontal="center" vertical="center"/>
    </xf>
    <xf numFmtId="164" fontId="29" fillId="0" borderId="1" xfId="8" applyNumberFormat="1" applyFont="1" applyFill="1" applyBorder="1" applyAlignment="1">
      <alignment horizontal="center" vertical="center"/>
    </xf>
    <xf numFmtId="0" fontId="29" fillId="0" borderId="0" xfId="8" applyFont="1" applyFill="1" applyAlignment="1">
      <alignment horizontal="center" vertical="center"/>
    </xf>
    <xf numFmtId="4" fontId="16" fillId="0" borderId="1" xfId="2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/>
    </xf>
    <xf numFmtId="0" fontId="35" fillId="0" borderId="11" xfId="23" applyFont="1" applyFill="1" applyBorder="1" applyAlignment="1">
      <alignment horizontal="center" vertical="center" wrapText="1"/>
    </xf>
    <xf numFmtId="0" fontId="37" fillId="0" borderId="1" xfId="23" applyFont="1" applyFill="1" applyBorder="1" applyAlignment="1">
      <alignment horizontal="center" vertical="center" wrapText="1"/>
    </xf>
    <xf numFmtId="0" fontId="46" fillId="0" borderId="0" xfId="5" applyFont="1"/>
    <xf numFmtId="0" fontId="33" fillId="0" borderId="0" xfId="5" applyFont="1" applyAlignment="1">
      <alignment horizontal="right"/>
    </xf>
    <xf numFmtId="0" fontId="22" fillId="0" borderId="0" xfId="5" applyFont="1"/>
    <xf numFmtId="0" fontId="22" fillId="0" borderId="0" xfId="5" applyFont="1" applyAlignment="1">
      <alignment horizontal="right"/>
    </xf>
    <xf numFmtId="0" fontId="33" fillId="0" borderId="0" xfId="5" applyFont="1" applyAlignment="1">
      <alignment vertical="top"/>
    </xf>
    <xf numFmtId="0" fontId="39" fillId="0" borderId="0" xfId="5" applyFont="1" applyBorder="1" applyAlignment="1">
      <alignment horizontal="center"/>
    </xf>
    <xf numFmtId="0" fontId="22" fillId="0" borderId="0" xfId="5" applyFont="1" applyAlignment="1">
      <alignment horizontal="center"/>
    </xf>
    <xf numFmtId="0" fontId="24" fillId="0" borderId="5" xfId="5" applyFont="1" applyBorder="1" applyAlignment="1">
      <alignment horizontal="center" vertical="top"/>
    </xf>
    <xf numFmtId="49" fontId="33" fillId="0" borderId="2" xfId="5" applyNumberFormat="1" applyFont="1" applyFill="1" applyBorder="1" applyAlignment="1">
      <alignment horizontal="center"/>
    </xf>
    <xf numFmtId="49" fontId="33" fillId="0" borderId="3" xfId="5" applyNumberFormat="1" applyFont="1" applyFill="1" applyBorder="1" applyAlignment="1">
      <alignment horizontal="center"/>
    </xf>
    <xf numFmtId="49" fontId="33" fillId="0" borderId="4" xfId="5" applyNumberFormat="1" applyFont="1" applyFill="1" applyBorder="1" applyAlignment="1">
      <alignment horizontal="center"/>
    </xf>
    <xf numFmtId="49" fontId="22" fillId="0" borderId="5" xfId="5" applyNumberFormat="1" applyFont="1" applyFill="1" applyBorder="1" applyAlignment="1">
      <alignment horizontal="center"/>
    </xf>
    <xf numFmtId="0" fontId="22" fillId="0" borderId="0" xfId="5" applyFont="1" applyBorder="1" applyAlignment="1">
      <alignment horizontal="right"/>
    </xf>
    <xf numFmtId="49" fontId="22" fillId="0" borderId="5" xfId="5" applyNumberFormat="1" applyFont="1" applyFill="1" applyBorder="1" applyAlignment="1">
      <alignment horizontal="left"/>
    </xf>
    <xf numFmtId="0" fontId="33" fillId="0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33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2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3" fillId="0" borderId="0" xfId="5" applyFont="1" applyAlignment="1">
      <alignment horizontal="left"/>
    </xf>
    <xf numFmtId="0" fontId="38" fillId="0" borderId="0" xfId="5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/>
    </xf>
    <xf numFmtId="49" fontId="33" fillId="0" borderId="3" xfId="0" applyNumberFormat="1" applyFont="1" applyFill="1" applyBorder="1" applyAlignment="1">
      <alignment horizontal="center"/>
    </xf>
    <xf numFmtId="49" fontId="33" fillId="0" borderId="4" xfId="0" applyNumberFormat="1" applyFont="1" applyFill="1" applyBorder="1" applyAlignment="1">
      <alignment horizontal="center"/>
    </xf>
    <xf numFmtId="0" fontId="47" fillId="0" borderId="0" xfId="0" applyFont="1" applyFill="1" applyAlignment="1">
      <alignment horizontal="center" vertical="center" wrapText="1"/>
    </xf>
    <xf numFmtId="49" fontId="33" fillId="0" borderId="8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24" fillId="0" borderId="5" xfId="5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166" fontId="33" fillId="0" borderId="1" xfId="5" applyNumberFormat="1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vertical="center" wrapText="1"/>
    </xf>
    <xf numFmtId="166" fontId="33" fillId="0" borderId="1" xfId="5" applyNumberFormat="1" applyFont="1" applyBorder="1" applyAlignment="1">
      <alignment horizontal="right" vertical="center" wrapText="1"/>
    </xf>
    <xf numFmtId="0" fontId="48" fillId="0" borderId="0" xfId="5" applyFont="1" applyFill="1" applyBorder="1" applyAlignment="1">
      <alignment horizontal="center" wrapText="1" shrinkToFit="1"/>
    </xf>
    <xf numFmtId="0" fontId="50" fillId="0" borderId="1" xfId="46" applyFont="1" applyBorder="1" applyAlignment="1">
      <alignment horizontal="center" vertical="center" wrapText="1"/>
    </xf>
    <xf numFmtId="166" fontId="33" fillId="0" borderId="6" xfId="5" applyNumberFormat="1" applyFont="1" applyBorder="1" applyAlignment="1">
      <alignment horizontal="right" vertical="center" wrapText="1"/>
    </xf>
    <xf numFmtId="166" fontId="33" fillId="0" borderId="7" xfId="5" applyNumberFormat="1" applyFont="1" applyBorder="1" applyAlignment="1">
      <alignment horizontal="right" vertical="center" wrapText="1"/>
    </xf>
    <xf numFmtId="0" fontId="24" fillId="0" borderId="10" xfId="5" applyFont="1" applyBorder="1" applyAlignment="1">
      <alignment horizontal="center" vertical="center"/>
    </xf>
    <xf numFmtId="0" fontId="24" fillId="0" borderId="0" xfId="5" applyFont="1" applyAlignment="1">
      <alignment horizontal="center"/>
    </xf>
    <xf numFmtId="0" fontId="24" fillId="0" borderId="22" xfId="5" applyNumberFormat="1" applyFont="1" applyBorder="1" applyAlignment="1">
      <alignment horizontal="center" vertical="top"/>
    </xf>
    <xf numFmtId="0" fontId="24" fillId="0" borderId="10" xfId="5" applyNumberFormat="1" applyFont="1" applyBorder="1" applyAlignment="1">
      <alignment horizontal="center" vertical="top"/>
    </xf>
    <xf numFmtId="0" fontId="24" fillId="0" borderId="23" xfId="5" applyNumberFormat="1" applyFont="1" applyBorder="1" applyAlignment="1">
      <alignment horizontal="center" vertical="top"/>
    </xf>
    <xf numFmtId="0" fontId="33" fillId="0" borderId="5" xfId="5" applyFont="1" applyBorder="1" applyAlignment="1">
      <alignment horizontal="center"/>
    </xf>
    <xf numFmtId="0" fontId="24" fillId="0" borderId="0" xfId="5" applyFont="1" applyBorder="1" applyAlignment="1">
      <alignment horizontal="center" vertical="center"/>
    </xf>
    <xf numFmtId="14" fontId="33" fillId="0" borderId="1" xfId="5" applyNumberFormat="1" applyFont="1" applyBorder="1" applyAlignment="1">
      <alignment horizontal="center" vertical="center" wrapText="1"/>
    </xf>
    <xf numFmtId="0" fontId="48" fillId="0" borderId="0" xfId="46" applyFont="1" applyAlignment="1">
      <alignment horizontal="center" vertical="center"/>
    </xf>
    <xf numFmtId="0" fontId="26" fillId="0" borderId="14" xfId="5" applyFont="1" applyBorder="1" applyAlignment="1">
      <alignment horizontal="center" vertical="center" wrapText="1"/>
    </xf>
    <xf numFmtId="0" fontId="26" fillId="0" borderId="10" xfId="5" applyFont="1" applyBorder="1" applyAlignment="1">
      <alignment horizontal="center" vertical="center" wrapText="1"/>
    </xf>
    <xf numFmtId="0" fontId="26" fillId="0" borderId="12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44" fillId="0" borderId="0" xfId="5" applyFont="1" applyBorder="1" applyAlignment="1">
      <alignment horizontal="center" vertical="center"/>
    </xf>
    <xf numFmtId="0" fontId="26" fillId="0" borderId="6" xfId="5" applyFont="1" applyBorder="1" applyAlignment="1">
      <alignment horizontal="center" vertical="center" wrapText="1"/>
    </xf>
    <xf numFmtId="0" fontId="26" fillId="0" borderId="11" xfId="5" applyFont="1" applyBorder="1" applyAlignment="1">
      <alignment horizontal="center" vertical="center" wrapText="1"/>
    </xf>
    <xf numFmtId="0" fontId="26" fillId="0" borderId="7" xfId="5" applyFont="1" applyBorder="1" applyAlignment="1">
      <alignment horizontal="center" vertical="center" wrapText="1"/>
    </xf>
    <xf numFmtId="49" fontId="24" fillId="0" borderId="1" xfId="5" applyNumberFormat="1" applyFont="1" applyBorder="1" applyAlignment="1">
      <alignment horizontal="center" vertical="center"/>
    </xf>
    <xf numFmtId="0" fontId="24" fillId="0" borderId="1" xfId="5" applyNumberFormat="1" applyFont="1" applyBorder="1" applyAlignment="1">
      <alignment horizontal="left" vertical="center" wrapText="1"/>
    </xf>
    <xf numFmtId="0" fontId="24" fillId="0" borderId="1" xfId="5" applyNumberFormat="1" applyFont="1" applyBorder="1" applyAlignment="1">
      <alignment horizontal="center" vertical="center"/>
    </xf>
    <xf numFmtId="4" fontId="24" fillId="0" borderId="1" xfId="5" applyNumberFormat="1" applyFont="1" applyBorder="1" applyAlignment="1">
      <alignment horizontal="center" vertical="center"/>
    </xf>
    <xf numFmtId="49" fontId="24" fillId="0" borderId="3" xfId="5" applyNumberFormat="1" applyFont="1" applyBorder="1" applyAlignment="1">
      <alignment horizontal="right" vertical="center"/>
    </xf>
    <xf numFmtId="49" fontId="24" fillId="0" borderId="4" xfId="5" applyNumberFormat="1" applyFont="1" applyBorder="1" applyAlignment="1">
      <alignment horizontal="right" vertical="center"/>
    </xf>
    <xf numFmtId="4" fontId="29" fillId="0" borderId="1" xfId="5" applyNumberFormat="1" applyFont="1" applyBorder="1" applyAlignment="1">
      <alignment horizontal="center" vertical="center"/>
    </xf>
    <xf numFmtId="0" fontId="24" fillId="0" borderId="1" xfId="5" applyNumberFormat="1" applyFont="1" applyBorder="1" applyAlignment="1">
      <alignment horizontal="center" vertical="top"/>
    </xf>
    <xf numFmtId="0" fontId="24" fillId="0" borderId="2" xfId="5" applyNumberFormat="1" applyFont="1" applyBorder="1" applyAlignment="1">
      <alignment horizontal="right" vertical="center"/>
    </xf>
    <xf numFmtId="0" fontId="24" fillId="0" borderId="3" xfId="5" applyNumberFormat="1" applyFont="1" applyBorder="1" applyAlignment="1">
      <alignment horizontal="right" vertical="center"/>
    </xf>
    <xf numFmtId="0" fontId="24" fillId="0" borderId="4" xfId="5" applyNumberFormat="1" applyFont="1" applyBorder="1" applyAlignment="1">
      <alignment horizontal="right" vertical="center"/>
    </xf>
    <xf numFmtId="0" fontId="22" fillId="0" borderId="0" xfId="5" applyNumberFormat="1" applyFont="1" applyBorder="1" applyAlignment="1">
      <alignment horizontal="center" wrapText="1"/>
    </xf>
    <xf numFmtId="0" fontId="24" fillId="0" borderId="14" xfId="5" applyNumberFormat="1" applyFont="1" applyBorder="1" applyAlignment="1">
      <alignment horizontal="center" vertical="center" wrapText="1"/>
    </xf>
    <xf numFmtId="0" fontId="24" fillId="0" borderId="10" xfId="5" applyNumberFormat="1" applyFont="1" applyBorder="1" applyAlignment="1">
      <alignment horizontal="center" vertical="center" wrapText="1"/>
    </xf>
    <xf numFmtId="0" fontId="24" fillId="0" borderId="12" xfId="5" applyNumberFormat="1" applyFont="1" applyBorder="1" applyAlignment="1">
      <alignment horizontal="center" vertical="center" wrapText="1"/>
    </xf>
    <xf numFmtId="0" fontId="24" fillId="0" borderId="2" xfId="5" applyNumberFormat="1" applyFont="1" applyBorder="1" applyAlignment="1">
      <alignment horizontal="left" vertical="center" wrapText="1"/>
    </xf>
    <xf numFmtId="0" fontId="24" fillId="0" borderId="3" xfId="5" applyNumberFormat="1" applyFont="1" applyBorder="1" applyAlignment="1">
      <alignment horizontal="left" vertical="center" wrapText="1"/>
    </xf>
    <xf numFmtId="0" fontId="24" fillId="0" borderId="4" xfId="5" applyNumberFormat="1" applyFont="1" applyBorder="1" applyAlignment="1">
      <alignment horizontal="left" vertical="center" wrapText="1"/>
    </xf>
    <xf numFmtId="0" fontId="29" fillId="0" borderId="1" xfId="5" applyNumberFormat="1" applyFont="1" applyBorder="1" applyAlignment="1">
      <alignment horizontal="center" vertical="center"/>
    </xf>
    <xf numFmtId="0" fontId="22" fillId="0" borderId="0" xfId="5" applyNumberFormat="1" applyFont="1" applyBorder="1" applyAlignment="1">
      <alignment horizontal="center"/>
    </xf>
    <xf numFmtId="4" fontId="24" fillId="0" borderId="2" xfId="5" applyNumberFormat="1" applyFont="1" applyBorder="1" applyAlignment="1">
      <alignment horizontal="center" vertical="center"/>
    </xf>
    <xf numFmtId="4" fontId="24" fillId="0" borderId="3" xfId="5" applyNumberFormat="1" applyFont="1" applyBorder="1" applyAlignment="1">
      <alignment horizontal="center" vertical="center"/>
    </xf>
    <xf numFmtId="4" fontId="24" fillId="0" borderId="4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left" vertical="center"/>
    </xf>
    <xf numFmtId="49" fontId="24" fillId="0" borderId="3" xfId="5" applyNumberFormat="1" applyFont="1" applyBorder="1" applyAlignment="1">
      <alignment horizontal="left" vertical="center"/>
    </xf>
    <xf numFmtId="49" fontId="24" fillId="0" borderId="4" xfId="5" applyNumberFormat="1" applyFont="1" applyBorder="1" applyAlignment="1">
      <alignment horizontal="left" vertical="center"/>
    </xf>
    <xf numFmtId="0" fontId="24" fillId="0" borderId="2" xfId="5" applyNumberFormat="1" applyFont="1" applyBorder="1" applyAlignment="1">
      <alignment horizontal="center" vertical="center" wrapText="1"/>
    </xf>
    <xf numFmtId="0" fontId="24" fillId="0" borderId="3" xfId="5" applyNumberFormat="1" applyFont="1" applyBorder="1" applyAlignment="1">
      <alignment horizontal="center" vertical="center" wrapText="1"/>
    </xf>
    <xf numFmtId="0" fontId="24" fillId="0" borderId="4" xfId="5" applyNumberFormat="1" applyFont="1" applyBorder="1" applyAlignment="1">
      <alignment horizontal="center" vertical="center" wrapText="1"/>
    </xf>
    <xf numFmtId="4" fontId="24" fillId="0" borderId="1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49" fontId="24" fillId="0" borderId="2" xfId="5" applyNumberFormat="1" applyFont="1" applyBorder="1" applyAlignment="1">
      <alignment horizontal="right" vertical="center"/>
    </xf>
    <xf numFmtId="4" fontId="29" fillId="0" borderId="1" xfId="5" applyNumberFormat="1" applyFont="1" applyFill="1" applyBorder="1" applyAlignment="1">
      <alignment horizontal="center" vertical="center"/>
    </xf>
    <xf numFmtId="0" fontId="29" fillId="0" borderId="1" xfId="5" applyNumberFormat="1" applyFont="1" applyFill="1" applyBorder="1" applyAlignment="1">
      <alignment horizontal="center" vertical="center"/>
    </xf>
    <xf numFmtId="0" fontId="24" fillId="0" borderId="3" xfId="5" applyNumberFormat="1" applyFont="1" applyBorder="1" applyAlignment="1">
      <alignment horizontal="left" vertical="center" wrapText="1" indent="2"/>
    </xf>
    <xf numFmtId="0" fontId="24" fillId="0" borderId="4" xfId="5" applyNumberFormat="1" applyFont="1" applyBorder="1" applyAlignment="1">
      <alignment horizontal="left" vertical="center" wrapText="1" indent="2"/>
    </xf>
    <xf numFmtId="49" fontId="24" fillId="0" borderId="14" xfId="5" applyNumberFormat="1" applyFont="1" applyBorder="1" applyAlignment="1">
      <alignment horizontal="center" vertical="center"/>
    </xf>
    <xf numFmtId="49" fontId="24" fillId="0" borderId="10" xfId="5" applyNumberFormat="1" applyFont="1" applyBorder="1" applyAlignment="1">
      <alignment horizontal="center" vertical="center"/>
    </xf>
    <xf numFmtId="49" fontId="24" fillId="0" borderId="12" xfId="5" applyNumberFormat="1" applyFont="1" applyBorder="1" applyAlignment="1">
      <alignment horizontal="center" vertical="center"/>
    </xf>
    <xf numFmtId="49" fontId="24" fillId="0" borderId="8" xfId="5" applyNumberFormat="1" applyFont="1" applyBorder="1" applyAlignment="1">
      <alignment horizontal="center" vertical="center"/>
    </xf>
    <xf numFmtId="49" fontId="24" fillId="0" borderId="5" xfId="5" applyNumberFormat="1" applyFont="1" applyBorder="1" applyAlignment="1">
      <alignment horizontal="center" vertical="center"/>
    </xf>
    <xf numFmtId="49" fontId="24" fillId="0" borderId="13" xfId="5" applyNumberFormat="1" applyFont="1" applyBorder="1" applyAlignment="1">
      <alignment horizontal="center" vertical="center"/>
    </xf>
    <xf numFmtId="0" fontId="24" fillId="0" borderId="10" xfId="5" applyNumberFormat="1" applyFont="1" applyBorder="1" applyAlignment="1">
      <alignment horizontal="left" vertical="center" wrapText="1" indent="2"/>
    </xf>
    <xf numFmtId="0" fontId="24" fillId="0" borderId="12" xfId="5" applyNumberFormat="1" applyFont="1" applyBorder="1" applyAlignment="1">
      <alignment horizontal="left" vertical="center" wrapText="1" indent="2"/>
    </xf>
    <xf numFmtId="4" fontId="24" fillId="0" borderId="14" xfId="5" applyNumberFormat="1" applyFont="1" applyBorder="1" applyAlignment="1">
      <alignment horizontal="center"/>
    </xf>
    <xf numFmtId="0" fontId="24" fillId="0" borderId="10" xfId="5" applyNumberFormat="1" applyFont="1" applyBorder="1" applyAlignment="1">
      <alignment horizontal="center"/>
    </xf>
    <xf numFmtId="0" fontId="24" fillId="0" borderId="12" xfId="5" applyNumberFormat="1" applyFont="1" applyBorder="1" applyAlignment="1">
      <alignment horizontal="center"/>
    </xf>
    <xf numFmtId="0" fontId="24" fillId="0" borderId="8" xfId="5" applyNumberFormat="1" applyFont="1" applyBorder="1" applyAlignment="1">
      <alignment horizontal="center"/>
    </xf>
    <xf numFmtId="0" fontId="24" fillId="0" borderId="5" xfId="5" applyNumberFormat="1" applyFont="1" applyBorder="1" applyAlignment="1">
      <alignment horizontal="center"/>
    </xf>
    <xf numFmtId="0" fontId="24" fillId="0" borderId="13" xfId="5" applyNumberFormat="1" applyFont="1" applyBorder="1" applyAlignment="1">
      <alignment horizontal="center"/>
    </xf>
    <xf numFmtId="4" fontId="24" fillId="0" borderId="10" xfId="5" applyNumberFormat="1" applyFont="1" applyBorder="1" applyAlignment="1">
      <alignment horizontal="center"/>
    </xf>
    <xf numFmtId="4" fontId="24" fillId="0" borderId="12" xfId="5" applyNumberFormat="1" applyFont="1" applyBorder="1" applyAlignment="1">
      <alignment horizontal="center"/>
    </xf>
    <xf numFmtId="4" fontId="24" fillId="0" borderId="8" xfId="5" applyNumberFormat="1" applyFont="1" applyBorder="1" applyAlignment="1">
      <alignment horizontal="center"/>
    </xf>
    <xf numFmtId="4" fontId="24" fillId="0" borderId="5" xfId="5" applyNumberFormat="1" applyFont="1" applyBorder="1" applyAlignment="1">
      <alignment horizontal="center"/>
    </xf>
    <xf numFmtId="4" fontId="24" fillId="0" borderId="13" xfId="5" applyNumberFormat="1" applyFont="1" applyBorder="1" applyAlignment="1">
      <alignment horizontal="center"/>
    </xf>
    <xf numFmtId="0" fontId="24" fillId="0" borderId="5" xfId="5" applyNumberFormat="1" applyFont="1" applyBorder="1" applyAlignment="1">
      <alignment horizontal="left" vertical="center" wrapText="1"/>
    </xf>
    <xf numFmtId="0" fontId="24" fillId="0" borderId="13" xfId="5" applyNumberFormat="1" applyFont="1" applyBorder="1" applyAlignment="1">
      <alignment horizontal="left" vertical="center" wrapText="1"/>
    </xf>
    <xf numFmtId="4" fontId="29" fillId="8" borderId="14" xfId="5" applyNumberFormat="1" applyFont="1" applyFill="1" applyBorder="1" applyAlignment="1">
      <alignment horizontal="center"/>
    </xf>
    <xf numFmtId="0" fontId="29" fillId="8" borderId="10" xfId="5" applyNumberFormat="1" applyFont="1" applyFill="1" applyBorder="1" applyAlignment="1">
      <alignment horizontal="center"/>
    </xf>
    <xf numFmtId="0" fontId="29" fillId="8" borderId="12" xfId="5" applyNumberFormat="1" applyFont="1" applyFill="1" applyBorder="1" applyAlignment="1">
      <alignment horizontal="center"/>
    </xf>
    <xf numFmtId="0" fontId="29" fillId="8" borderId="8" xfId="5" applyNumberFormat="1" applyFont="1" applyFill="1" applyBorder="1" applyAlignment="1">
      <alignment horizontal="center"/>
    </xf>
    <xf numFmtId="0" fontId="29" fillId="8" borderId="5" xfId="5" applyNumberFormat="1" applyFont="1" applyFill="1" applyBorder="1" applyAlignment="1">
      <alignment horizontal="center"/>
    </xf>
    <xf numFmtId="0" fontId="29" fillId="8" borderId="13" xfId="5" applyNumberFormat="1" applyFont="1" applyFill="1" applyBorder="1" applyAlignment="1">
      <alignment horizontal="center"/>
    </xf>
    <xf numFmtId="0" fontId="24" fillId="0" borderId="2" xfId="5" applyNumberFormat="1" applyFont="1" applyBorder="1" applyAlignment="1">
      <alignment horizontal="center" vertical="center"/>
    </xf>
    <xf numFmtId="0" fontId="24" fillId="0" borderId="3" xfId="5" applyNumberFormat="1" applyFont="1" applyBorder="1" applyAlignment="1">
      <alignment horizontal="center" vertical="center"/>
    </xf>
    <xf numFmtId="0" fontId="24" fillId="0" borderId="4" xfId="5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/>
    <xf numFmtId="0" fontId="2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0" borderId="0" xfId="20" applyFont="1" applyFill="1" applyAlignment="1">
      <alignment horizontal="center" vertical="center" wrapText="1"/>
    </xf>
    <xf numFmtId="0" fontId="13" fillId="0" borderId="8" xfId="20" applyFont="1" applyFill="1" applyBorder="1" applyAlignment="1">
      <alignment horizontal="center" vertical="center"/>
    </xf>
    <xf numFmtId="0" fontId="13" fillId="0" borderId="5" xfId="20" applyFont="1" applyFill="1" applyBorder="1" applyAlignment="1">
      <alignment horizontal="center" vertical="center"/>
    </xf>
    <xf numFmtId="0" fontId="25" fillId="0" borderId="0" xfId="20" applyFont="1" applyFill="1" applyBorder="1" applyAlignment="1">
      <alignment horizontal="center" vertical="center"/>
    </xf>
    <xf numFmtId="0" fontId="24" fillId="0" borderId="1" xfId="5" applyFont="1" applyFill="1" applyBorder="1" applyAlignment="1">
      <alignment horizontal="center" vertical="center"/>
    </xf>
    <xf numFmtId="0" fontId="13" fillId="0" borderId="1" xfId="20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64" applyFont="1" applyFill="1" applyAlignment="1">
      <alignment horizontal="center" vertical="center"/>
    </xf>
    <xf numFmtId="0" fontId="24" fillId="0" borderId="6" xfId="5" applyFont="1" applyFill="1" applyBorder="1" applyAlignment="1">
      <alignment horizontal="center" vertical="center"/>
    </xf>
    <xf numFmtId="0" fontId="24" fillId="0" borderId="7" xfId="5" applyFont="1" applyFill="1" applyBorder="1" applyAlignment="1">
      <alignment horizontal="center" vertical="center"/>
    </xf>
    <xf numFmtId="0" fontId="24" fillId="0" borderId="14" xfId="5" applyFont="1" applyFill="1" applyBorder="1" applyAlignment="1">
      <alignment horizontal="center" vertical="center" wrapText="1"/>
    </xf>
    <xf numFmtId="0" fontId="24" fillId="0" borderId="10" xfId="5" applyFont="1" applyFill="1" applyBorder="1" applyAlignment="1">
      <alignment horizontal="center" vertical="center" wrapText="1"/>
    </xf>
    <xf numFmtId="0" fontId="24" fillId="0" borderId="12" xfId="5" applyFont="1" applyFill="1" applyBorder="1" applyAlignment="1">
      <alignment horizontal="center" vertical="center" wrapText="1"/>
    </xf>
    <xf numFmtId="0" fontId="24" fillId="0" borderId="2" xfId="64" applyFont="1" applyFill="1" applyBorder="1" applyAlignment="1">
      <alignment horizontal="center" vertical="center" wrapText="1"/>
    </xf>
    <xf numFmtId="0" fontId="24" fillId="0" borderId="3" xfId="64" applyFont="1" applyFill="1" applyBorder="1" applyAlignment="1">
      <alignment horizontal="center" vertical="center" wrapText="1"/>
    </xf>
    <xf numFmtId="0" fontId="24" fillId="0" borderId="4" xfId="64" applyFont="1" applyFill="1" applyBorder="1" applyAlignment="1">
      <alignment horizontal="center" vertical="center" wrapText="1"/>
    </xf>
    <xf numFmtId="0" fontId="13" fillId="0" borderId="9" xfId="64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4" fillId="0" borderId="5" xfId="17" applyFont="1" applyFill="1" applyBorder="1" applyAlignment="1">
      <alignment horizontal="center" vertical="center"/>
    </xf>
    <xf numFmtId="0" fontId="24" fillId="0" borderId="6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4" fillId="0" borderId="1" xfId="10" applyNumberFormat="1" applyFont="1" applyFill="1" applyBorder="1" applyAlignment="1">
      <alignment horizontal="center" vertical="center" wrapText="1"/>
    </xf>
    <xf numFmtId="0" fontId="24" fillId="0" borderId="1" xfId="10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4" fillId="0" borderId="0" xfId="8" applyFont="1" applyFill="1" applyAlignment="1">
      <alignment horizontal="center" vertical="center" wrapText="1"/>
    </xf>
    <xf numFmtId="0" fontId="24" fillId="0" borderId="0" xfId="8" applyFont="1" applyFill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3" xfId="5" applyNumberFormat="1" applyFont="1" applyBorder="1" applyAlignment="1">
      <alignment horizontal="center" vertical="center"/>
    </xf>
    <xf numFmtId="49" fontId="24" fillId="0" borderId="4" xfId="5" applyNumberFormat="1" applyFont="1" applyBorder="1" applyAlignment="1">
      <alignment horizontal="center" vertical="center"/>
    </xf>
    <xf numFmtId="1" fontId="24" fillId="0" borderId="1" xfId="5" applyNumberFormat="1" applyFont="1" applyBorder="1" applyAlignment="1">
      <alignment horizontal="center" vertical="center"/>
    </xf>
    <xf numFmtId="0" fontId="52" fillId="0" borderId="0" xfId="5" applyNumberFormat="1" applyFont="1" applyBorder="1" applyAlignment="1">
      <alignment horizontal="justify" wrapText="1"/>
    </xf>
    <xf numFmtId="0" fontId="42" fillId="0" borderId="0" xfId="5" applyNumberFormat="1" applyFont="1" applyBorder="1" applyAlignment="1">
      <alignment horizontal="justify" wrapText="1"/>
    </xf>
    <xf numFmtId="4" fontId="29" fillId="0" borderId="14" xfId="5" applyNumberFormat="1" applyFont="1" applyBorder="1" applyAlignment="1">
      <alignment horizontal="center"/>
    </xf>
    <xf numFmtId="0" fontId="29" fillId="0" borderId="10" xfId="5" applyNumberFormat="1" applyFont="1" applyBorder="1" applyAlignment="1">
      <alignment horizontal="center"/>
    </xf>
    <xf numFmtId="0" fontId="29" fillId="0" borderId="12" xfId="5" applyNumberFormat="1" applyFont="1" applyBorder="1" applyAlignment="1">
      <alignment horizontal="center"/>
    </xf>
    <xf numFmtId="0" fontId="29" fillId="0" borderId="8" xfId="5" applyNumberFormat="1" applyFont="1" applyBorder="1" applyAlignment="1">
      <alignment horizontal="center"/>
    </xf>
    <xf numFmtId="0" fontId="29" fillId="0" borderId="5" xfId="5" applyNumberFormat="1" applyFont="1" applyBorder="1" applyAlignment="1">
      <alignment horizontal="center"/>
    </xf>
    <xf numFmtId="0" fontId="29" fillId="0" borderId="13" xfId="5" applyNumberFormat="1" applyFont="1" applyBorder="1" applyAlignment="1">
      <alignment horizontal="center"/>
    </xf>
    <xf numFmtId="0" fontId="22" fillId="9" borderId="0" xfId="5" applyNumberFormat="1" applyFont="1" applyFill="1" applyBorder="1" applyAlignment="1">
      <alignment horizontal="center" wrapText="1"/>
    </xf>
    <xf numFmtId="0" fontId="22" fillId="9" borderId="10" xfId="5" applyNumberFormat="1" applyFont="1" applyFill="1" applyBorder="1" applyAlignment="1">
      <alignment horizontal="center" wrapText="1"/>
    </xf>
    <xf numFmtId="0" fontId="22" fillId="0" borderId="0" xfId="5" applyNumberFormat="1" applyFont="1" applyFill="1" applyBorder="1" applyAlignment="1">
      <alignment horizontal="center" wrapText="1"/>
    </xf>
    <xf numFmtId="0" fontId="22" fillId="8" borderId="0" xfId="5" applyNumberFormat="1" applyFont="1" applyFill="1" applyBorder="1" applyAlignment="1">
      <alignment horizontal="center" wrapText="1"/>
    </xf>
    <xf numFmtId="0" fontId="27" fillId="0" borderId="5" xfId="23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0" xfId="18" applyFont="1" applyFill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/>
    </xf>
    <xf numFmtId="0" fontId="13" fillId="0" borderId="1" xfId="18" applyFont="1" applyFill="1" applyBorder="1" applyAlignment="1">
      <alignment horizontal="center" vertical="center" wrapText="1"/>
    </xf>
    <xf numFmtId="0" fontId="13" fillId="0" borderId="6" xfId="18" applyFont="1" applyFill="1" applyBorder="1" applyAlignment="1">
      <alignment horizontal="center" vertical="center" wrapText="1"/>
    </xf>
    <xf numFmtId="0" fontId="13" fillId="0" borderId="7" xfId="18" applyFont="1" applyFill="1" applyBorder="1" applyAlignment="1">
      <alignment horizontal="center" vertical="center" wrapText="1"/>
    </xf>
    <xf numFmtId="0" fontId="24" fillId="0" borderId="1" xfId="60" applyFont="1" applyFill="1" applyBorder="1" applyAlignment="1">
      <alignment horizontal="center" vertical="center" wrapText="1"/>
    </xf>
    <xf numFmtId="49" fontId="24" fillId="0" borderId="1" xfId="60" applyNumberFormat="1" applyFont="1" applyFill="1" applyBorder="1" applyAlignment="1">
      <alignment horizontal="center" vertical="center" wrapText="1"/>
    </xf>
    <xf numFmtId="0" fontId="21" fillId="0" borderId="1" xfId="61" applyFont="1" applyBorder="1" applyAlignment="1">
      <alignment horizontal="center" vertical="center"/>
    </xf>
    <xf numFmtId="0" fontId="21" fillId="0" borderId="1" xfId="61" applyFont="1" applyFill="1" applyBorder="1" applyAlignment="1">
      <alignment horizontal="center" vertical="center" wrapText="1"/>
    </xf>
    <xf numFmtId="0" fontId="29" fillId="0" borderId="0" xfId="7" applyFont="1" applyAlignment="1">
      <alignment horizontal="center" wrapText="1"/>
    </xf>
    <xf numFmtId="0" fontId="24" fillId="0" borderId="1" xfId="7" applyFont="1" applyBorder="1" applyAlignment="1">
      <alignment horizontal="center" vertical="center"/>
    </xf>
    <xf numFmtId="0" fontId="24" fillId="0" borderId="1" xfId="7" applyFont="1" applyFill="1" applyBorder="1" applyAlignment="1">
      <alignment horizontal="left"/>
    </xf>
    <xf numFmtId="0" fontId="34" fillId="0" borderId="5" xfId="23" applyFont="1" applyBorder="1" applyAlignment="1">
      <alignment horizontal="center" vertical="center" wrapText="1"/>
    </xf>
    <xf numFmtId="0" fontId="34" fillId="0" borderId="0" xfId="23" applyFont="1" applyBorder="1" applyAlignment="1">
      <alignment horizontal="center" vertical="center" wrapText="1"/>
    </xf>
    <xf numFmtId="0" fontId="36" fillId="0" borderId="1" xfId="23" applyFont="1" applyBorder="1" applyAlignment="1">
      <alignment horizontal="center" vertical="center" wrapText="1"/>
    </xf>
    <xf numFmtId="0" fontId="36" fillId="2" borderId="1" xfId="23" applyFont="1" applyFill="1" applyBorder="1" applyAlignment="1">
      <alignment horizontal="center" vertical="center" wrapText="1"/>
    </xf>
    <xf numFmtId="0" fontId="36" fillId="0" borderId="1" xfId="23" applyFont="1" applyFill="1" applyBorder="1" applyAlignment="1">
      <alignment horizontal="center" vertical="center" wrapText="1"/>
    </xf>
    <xf numFmtId="0" fontId="36" fillId="0" borderId="6" xfId="23" applyFont="1" applyFill="1" applyBorder="1" applyAlignment="1">
      <alignment horizontal="center" vertical="center" wrapText="1"/>
    </xf>
    <xf numFmtId="0" fontId="36" fillId="0" borderId="11" xfId="23" applyFont="1" applyFill="1" applyBorder="1" applyAlignment="1">
      <alignment horizontal="center" vertical="center" wrapText="1"/>
    </xf>
    <xf numFmtId="0" fontId="36" fillId="0" borderId="7" xfId="23" applyFont="1" applyFill="1" applyBorder="1" applyAlignment="1">
      <alignment horizontal="center" vertical="center" wrapText="1"/>
    </xf>
    <xf numFmtId="0" fontId="28" fillId="0" borderId="6" xfId="23" applyFont="1" applyBorder="1" applyAlignment="1">
      <alignment horizontal="center" vertical="center" wrapText="1"/>
    </xf>
    <xf numFmtId="0" fontId="28" fillId="0" borderId="11" xfId="23" applyFont="1" applyBorder="1" applyAlignment="1">
      <alignment horizontal="center" vertical="center" wrapText="1"/>
    </xf>
    <xf numFmtId="0" fontId="28" fillId="0" borderId="7" xfId="23" applyFont="1" applyBorder="1" applyAlignment="1">
      <alignment horizontal="center" vertical="center" wrapText="1"/>
    </xf>
    <xf numFmtId="0" fontId="24" fillId="0" borderId="6" xfId="23" applyFont="1" applyFill="1" applyBorder="1" applyAlignment="1">
      <alignment horizontal="center" vertical="center" wrapText="1"/>
    </xf>
    <xf numFmtId="0" fontId="24" fillId="0" borderId="11" xfId="23" applyFont="1" applyFill="1" applyBorder="1" applyAlignment="1">
      <alignment horizontal="center" vertical="center" wrapText="1"/>
    </xf>
    <xf numFmtId="0" fontId="34" fillId="0" borderId="2" xfId="23" applyFont="1" applyBorder="1" applyAlignment="1">
      <alignment horizontal="center" vertical="center" wrapText="1"/>
    </xf>
    <xf numFmtId="0" fontId="34" fillId="0" borderId="3" xfId="23" applyFont="1" applyBorder="1" applyAlignment="1">
      <alignment horizontal="center" vertical="center" wrapText="1"/>
    </xf>
    <xf numFmtId="0" fontId="29" fillId="0" borderId="1" xfId="25" applyFont="1" applyBorder="1" applyAlignment="1">
      <alignment horizontal="center" vertical="center" wrapText="1"/>
    </xf>
  </cellXfs>
  <cellStyles count="71">
    <cellStyle name="Гиперссылка" xfId="46" builtinId="8"/>
    <cellStyle name="Обычный" xfId="0" builtinId="0"/>
    <cellStyle name="Обычный 10" xfId="47"/>
    <cellStyle name="Обычный 11" xfId="61"/>
    <cellStyle name="Обычный 2" xfId="5"/>
    <cellStyle name="Обычный 2 2" xfId="6"/>
    <cellStyle name="Обычный 2 2 2" xfId="48"/>
    <cellStyle name="Обычный 2 3" xfId="29"/>
    <cellStyle name="Обычный 2 4" xfId="49"/>
    <cellStyle name="Обычный 3" xfId="7"/>
    <cellStyle name="Обычный 3 2" xfId="8"/>
    <cellStyle name="Обычный 3 3" xfId="50"/>
    <cellStyle name="Обычный 4" xfId="2"/>
    <cellStyle name="Обычный 5" xfId="9"/>
    <cellStyle name="Обычный 5 2" xfId="69"/>
    <cellStyle name="Обычный 6" xfId="17"/>
    <cellStyle name="Обычный 6 2" xfId="33"/>
    <cellStyle name="Обычный 6 3" xfId="36"/>
    <cellStyle name="Обычный 6 4" xfId="43"/>
    <cellStyle name="Обычный 6 5" xfId="66"/>
    <cellStyle name="Обычный 7" xfId="18"/>
    <cellStyle name="Обычный 7 2" xfId="34"/>
    <cellStyle name="Обычный 7 3" xfId="39"/>
    <cellStyle name="Обычный 7 4" xfId="44"/>
    <cellStyle name="Обычный 8" xfId="20"/>
    <cellStyle name="Обычный 8 2" xfId="51"/>
    <cellStyle name="Обычный 8 3" xfId="52"/>
    <cellStyle name="Обычный 8 4" xfId="64"/>
    <cellStyle name="Обычный 8 5" xfId="68"/>
    <cellStyle name="Обычный 9" xfId="23"/>
    <cellStyle name="Обычный 9 2" xfId="53"/>
    <cellStyle name="Обычный_2009 доп расчеты" xfId="10"/>
    <cellStyle name="Обычный_контингент 2008-2009 уч.год общее образование в разрезе классов" xfId="25"/>
    <cellStyle name="Обычный_лагеря" xfId="60"/>
    <cellStyle name="Обычный_Лист1" xfId="62"/>
    <cellStyle name="Обычный_Лист3" xfId="11"/>
    <cellStyle name="Процентный 2" xfId="70"/>
    <cellStyle name="Финансовый" xfId="1" builtinId="3"/>
    <cellStyle name="Финансовый 10" xfId="30"/>
    <cellStyle name="Финансовый 11" xfId="63"/>
    <cellStyle name="Финансовый 2" xfId="4"/>
    <cellStyle name="Финансовый 2 2" xfId="12"/>
    <cellStyle name="Финансовый 2 2 2" xfId="54"/>
    <cellStyle name="Финансовый 2 3" xfId="28"/>
    <cellStyle name="Финансовый 2 3 2" xfId="55"/>
    <cellStyle name="Финансовый 2 4" xfId="31"/>
    <cellStyle name="Финансовый 2 5" xfId="37"/>
    <cellStyle name="Финансовый 2 6" xfId="41"/>
    <cellStyle name="Финансовый 2 7" xfId="67"/>
    <cellStyle name="Финансовый 3" xfId="13"/>
    <cellStyle name="Финансовый 3 2" xfId="14"/>
    <cellStyle name="Финансовый 3 3" xfId="15"/>
    <cellStyle name="Финансовый 4" xfId="3"/>
    <cellStyle name="Финансовый 4 2" xfId="27"/>
    <cellStyle name="Финансовый 5" xfId="16"/>
    <cellStyle name="Финансовый 5 2" xfId="22"/>
    <cellStyle name="Финансовый 5 2 2" xfId="56"/>
    <cellStyle name="Финансовый 5 3" xfId="32"/>
    <cellStyle name="Финансовый 5 4" xfId="38"/>
    <cellStyle name="Финансовый 5 5" xfId="42"/>
    <cellStyle name="Финансовый 6" xfId="19"/>
    <cellStyle name="Финансовый 6 2" xfId="35"/>
    <cellStyle name="Финансовый 6 3" xfId="40"/>
    <cellStyle name="Финансовый 6 4" xfId="45"/>
    <cellStyle name="Финансовый 7" xfId="21"/>
    <cellStyle name="Финансовый 7 2" xfId="57"/>
    <cellStyle name="Финансовый 7 3" xfId="58"/>
    <cellStyle name="Финансовый 7 4" xfId="65"/>
    <cellStyle name="Финансовый 8" xfId="24"/>
    <cellStyle name="Финансовый 9" xfId="26"/>
    <cellStyle name="Финансовый 9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3;%20&#1060;&#1061;&#1044;/2020/&#1064;&#1050;&#1054;&#1051;&#1067;/&#1055;&#1083;&#1072;&#1085;%20&#1060;&#1061;&#1044;/&#1096;&#1082;.%20&#1040;&#1085;&#1076;&#1077;&#1075;/+&#1043;&#1041;&#1054;&#1059;%20&#1040;&#1085;&#1076;&#1077;&#1075;%2001.01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"/>
      <sheetName val="таблица 1"/>
      <sheetName val="таблица 2 (старый)"/>
      <sheetName val="Расчеты ГЗ"/>
      <sheetName val="Расчеты (Иные)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consultantplus://offline/ref=1460F08528B62F4BA0D53473343AEAC1B2A180FEF5A24C17E72BD441B6978A3EF2248B8EC6598595E167900FC4aDkCL" TargetMode="External"/><Relationship Id="rId7" Type="http://schemas.openxmlformats.org/officeDocument/2006/relationships/hyperlink" Target="consultantplus://offline/ref=1460F08528B62F4BA0D53473343AEAC1B2A084FAF9AE4C17E72BD441B6978A3EF2248B8EC6598595E167900FC4aDkCL" TargetMode="External"/><Relationship Id="rId2" Type="http://schemas.openxmlformats.org/officeDocument/2006/relationships/hyperlink" Target="consultantplus://offline/ref=1460F08528B62F4BA0D53473343AEAC1B2A082FAF9AB4C17E72BD441B6978A3EE024D380C5559D9FB728D65AC8D7C0431BB269398E21a9k5L" TargetMode="External"/><Relationship Id="rId1" Type="http://schemas.openxmlformats.org/officeDocument/2006/relationships/hyperlink" Target="consultantplus://offline/ref=1460F08528B62F4BA0D53473343AEAC1B2A180FEF5A24C17E72BD441B6978A3EF2248B8EC6598595E167900FC4aDkCL" TargetMode="External"/><Relationship Id="rId6" Type="http://schemas.openxmlformats.org/officeDocument/2006/relationships/hyperlink" Target="consultantplus://offline/ref=1460F08528B62F4BA0D53473343AEAC1B2A084FAF9AE4C17E72BD441B6978A3EF2248B8EC6598595E167900FC4aDkCL" TargetMode="External"/><Relationship Id="rId5" Type="http://schemas.openxmlformats.org/officeDocument/2006/relationships/hyperlink" Target="consultantplus://offline/ref=1460F08528B62F4BA0D53473343AEAC1B2A180FEF5A24C17E72BD441B6978A3EF2248B8EC6598595E167900FC4aDkCL" TargetMode="External"/><Relationship Id="rId4" Type="http://schemas.openxmlformats.org/officeDocument/2006/relationships/hyperlink" Target="consultantplus://offline/ref=1460F08528B62F4BA0D53473343AEAC1B2A180FEF5A24C17E72BD441B6978A3EF2248B8EC6598595E167900FC4aDkC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B8AE1035D0937AEEB77C3FBFF6CDC688C588254FBD6896A3CFC51150518F457BB7E7D169A15B06272B44A970D18E71FFFF2514E073F56077REEAN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49"/>
  <sheetViews>
    <sheetView view="pageBreakPreview" topLeftCell="A22" zoomScaleNormal="100" zoomScaleSheetLayoutView="100" workbookViewId="0">
      <selection activeCell="BR33" sqref="BR33"/>
    </sheetView>
  </sheetViews>
  <sheetFormatPr defaultColWidth="0.85546875" defaultRowHeight="15" x14ac:dyDescent="0.25"/>
  <cols>
    <col min="1" max="50" width="0.85546875" style="125"/>
    <col min="51" max="51" width="1" style="125" customWidth="1"/>
    <col min="52" max="306" width="0.85546875" style="125"/>
    <col min="307" max="307" width="1" style="125" customWidth="1"/>
    <col min="308" max="562" width="0.85546875" style="125"/>
    <col min="563" max="563" width="1" style="125" customWidth="1"/>
    <col min="564" max="818" width="0.85546875" style="125"/>
    <col min="819" max="819" width="1" style="125" customWidth="1"/>
    <col min="820" max="1074" width="0.85546875" style="125"/>
    <col min="1075" max="1075" width="1" style="125" customWidth="1"/>
    <col min="1076" max="1330" width="0.85546875" style="125"/>
    <col min="1331" max="1331" width="1" style="125" customWidth="1"/>
    <col min="1332" max="1586" width="0.85546875" style="125"/>
    <col min="1587" max="1587" width="1" style="125" customWidth="1"/>
    <col min="1588" max="1842" width="0.85546875" style="125"/>
    <col min="1843" max="1843" width="1" style="125" customWidth="1"/>
    <col min="1844" max="2098" width="0.85546875" style="125"/>
    <col min="2099" max="2099" width="1" style="125" customWidth="1"/>
    <col min="2100" max="2354" width="0.85546875" style="125"/>
    <col min="2355" max="2355" width="1" style="125" customWidth="1"/>
    <col min="2356" max="2610" width="0.85546875" style="125"/>
    <col min="2611" max="2611" width="1" style="125" customWidth="1"/>
    <col min="2612" max="2866" width="0.85546875" style="125"/>
    <col min="2867" max="2867" width="1" style="125" customWidth="1"/>
    <col min="2868" max="3122" width="0.85546875" style="125"/>
    <col min="3123" max="3123" width="1" style="125" customWidth="1"/>
    <col min="3124" max="3378" width="0.85546875" style="125"/>
    <col min="3379" max="3379" width="1" style="125" customWidth="1"/>
    <col min="3380" max="3634" width="0.85546875" style="125"/>
    <col min="3635" max="3635" width="1" style="125" customWidth="1"/>
    <col min="3636" max="3890" width="0.85546875" style="125"/>
    <col min="3891" max="3891" width="1" style="125" customWidth="1"/>
    <col min="3892" max="4146" width="0.85546875" style="125"/>
    <col min="4147" max="4147" width="1" style="125" customWidth="1"/>
    <col min="4148" max="4402" width="0.85546875" style="125"/>
    <col min="4403" max="4403" width="1" style="125" customWidth="1"/>
    <col min="4404" max="4658" width="0.85546875" style="125"/>
    <col min="4659" max="4659" width="1" style="125" customWidth="1"/>
    <col min="4660" max="4914" width="0.85546875" style="125"/>
    <col min="4915" max="4915" width="1" style="125" customWidth="1"/>
    <col min="4916" max="5170" width="0.85546875" style="125"/>
    <col min="5171" max="5171" width="1" style="125" customWidth="1"/>
    <col min="5172" max="5426" width="0.85546875" style="125"/>
    <col min="5427" max="5427" width="1" style="125" customWidth="1"/>
    <col min="5428" max="5682" width="0.85546875" style="125"/>
    <col min="5683" max="5683" width="1" style="125" customWidth="1"/>
    <col min="5684" max="5938" width="0.85546875" style="125"/>
    <col min="5939" max="5939" width="1" style="125" customWidth="1"/>
    <col min="5940" max="6194" width="0.85546875" style="125"/>
    <col min="6195" max="6195" width="1" style="125" customWidth="1"/>
    <col min="6196" max="6450" width="0.85546875" style="125"/>
    <col min="6451" max="6451" width="1" style="125" customWidth="1"/>
    <col min="6452" max="6706" width="0.85546875" style="125"/>
    <col min="6707" max="6707" width="1" style="125" customWidth="1"/>
    <col min="6708" max="6962" width="0.85546875" style="125"/>
    <col min="6963" max="6963" width="1" style="125" customWidth="1"/>
    <col min="6964" max="7218" width="0.85546875" style="125"/>
    <col min="7219" max="7219" width="1" style="125" customWidth="1"/>
    <col min="7220" max="7474" width="0.85546875" style="125"/>
    <col min="7475" max="7475" width="1" style="125" customWidth="1"/>
    <col min="7476" max="7730" width="0.85546875" style="125"/>
    <col min="7731" max="7731" width="1" style="125" customWidth="1"/>
    <col min="7732" max="7986" width="0.85546875" style="125"/>
    <col min="7987" max="7987" width="1" style="125" customWidth="1"/>
    <col min="7988" max="8242" width="0.85546875" style="125"/>
    <col min="8243" max="8243" width="1" style="125" customWidth="1"/>
    <col min="8244" max="8498" width="0.85546875" style="125"/>
    <col min="8499" max="8499" width="1" style="125" customWidth="1"/>
    <col min="8500" max="8754" width="0.85546875" style="125"/>
    <col min="8755" max="8755" width="1" style="125" customWidth="1"/>
    <col min="8756" max="9010" width="0.85546875" style="125"/>
    <col min="9011" max="9011" width="1" style="125" customWidth="1"/>
    <col min="9012" max="9266" width="0.85546875" style="125"/>
    <col min="9267" max="9267" width="1" style="125" customWidth="1"/>
    <col min="9268" max="9522" width="0.85546875" style="125"/>
    <col min="9523" max="9523" width="1" style="125" customWidth="1"/>
    <col min="9524" max="9778" width="0.85546875" style="125"/>
    <col min="9779" max="9779" width="1" style="125" customWidth="1"/>
    <col min="9780" max="10034" width="0.85546875" style="125"/>
    <col min="10035" max="10035" width="1" style="125" customWidth="1"/>
    <col min="10036" max="10290" width="0.85546875" style="125"/>
    <col min="10291" max="10291" width="1" style="125" customWidth="1"/>
    <col min="10292" max="10546" width="0.85546875" style="125"/>
    <col min="10547" max="10547" width="1" style="125" customWidth="1"/>
    <col min="10548" max="10802" width="0.85546875" style="125"/>
    <col min="10803" max="10803" width="1" style="125" customWidth="1"/>
    <col min="10804" max="11058" width="0.85546875" style="125"/>
    <col min="11059" max="11059" width="1" style="125" customWidth="1"/>
    <col min="11060" max="11314" width="0.85546875" style="125"/>
    <col min="11315" max="11315" width="1" style="125" customWidth="1"/>
    <col min="11316" max="11570" width="0.85546875" style="125"/>
    <col min="11571" max="11571" width="1" style="125" customWidth="1"/>
    <col min="11572" max="11826" width="0.85546875" style="125"/>
    <col min="11827" max="11827" width="1" style="125" customWidth="1"/>
    <col min="11828" max="12082" width="0.85546875" style="125"/>
    <col min="12083" max="12083" width="1" style="125" customWidth="1"/>
    <col min="12084" max="12338" width="0.85546875" style="125"/>
    <col min="12339" max="12339" width="1" style="125" customWidth="1"/>
    <col min="12340" max="12594" width="0.85546875" style="125"/>
    <col min="12595" max="12595" width="1" style="125" customWidth="1"/>
    <col min="12596" max="12850" width="0.85546875" style="125"/>
    <col min="12851" max="12851" width="1" style="125" customWidth="1"/>
    <col min="12852" max="13106" width="0.85546875" style="125"/>
    <col min="13107" max="13107" width="1" style="125" customWidth="1"/>
    <col min="13108" max="13362" width="0.85546875" style="125"/>
    <col min="13363" max="13363" width="1" style="125" customWidth="1"/>
    <col min="13364" max="13618" width="0.85546875" style="125"/>
    <col min="13619" max="13619" width="1" style="125" customWidth="1"/>
    <col min="13620" max="13874" width="0.85546875" style="125"/>
    <col min="13875" max="13875" width="1" style="125" customWidth="1"/>
    <col min="13876" max="14130" width="0.85546875" style="125"/>
    <col min="14131" max="14131" width="1" style="125" customWidth="1"/>
    <col min="14132" max="14386" width="0.85546875" style="125"/>
    <col min="14387" max="14387" width="1" style="125" customWidth="1"/>
    <col min="14388" max="14642" width="0.85546875" style="125"/>
    <col min="14643" max="14643" width="1" style="125" customWidth="1"/>
    <col min="14644" max="14898" width="0.85546875" style="125"/>
    <col min="14899" max="14899" width="1" style="125" customWidth="1"/>
    <col min="14900" max="15154" width="0.85546875" style="125"/>
    <col min="15155" max="15155" width="1" style="125" customWidth="1"/>
    <col min="15156" max="15410" width="0.85546875" style="125"/>
    <col min="15411" max="15411" width="1" style="125" customWidth="1"/>
    <col min="15412" max="15666" width="0.85546875" style="125"/>
    <col min="15667" max="15667" width="1" style="125" customWidth="1"/>
    <col min="15668" max="15922" width="0.85546875" style="125"/>
    <col min="15923" max="15923" width="1" style="125" customWidth="1"/>
    <col min="15924" max="16178" width="0.85546875" style="125"/>
    <col min="16179" max="16179" width="1" style="125" customWidth="1"/>
    <col min="16180" max="16384" width="0.85546875" style="125"/>
  </cols>
  <sheetData>
    <row r="1" spans="1:108" s="112" customFormat="1" ht="1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</row>
    <row r="2" spans="1:108" s="112" customForma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3"/>
      <c r="AT2" s="113"/>
      <c r="AU2" s="113"/>
      <c r="AV2" s="113"/>
      <c r="AW2" s="113"/>
      <c r="AX2" s="113"/>
      <c r="AY2" s="113"/>
      <c r="AZ2" s="113"/>
      <c r="BI2" s="464" t="s">
        <v>201</v>
      </c>
      <c r="BJ2" s="464"/>
      <c r="BK2" s="464"/>
      <c r="BL2" s="464"/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464"/>
      <c r="CD2" s="464"/>
      <c r="CE2" s="464"/>
      <c r="CF2" s="464"/>
      <c r="CG2" s="464"/>
      <c r="CH2" s="464"/>
      <c r="CI2" s="464"/>
      <c r="CJ2" s="464"/>
      <c r="CK2" s="464"/>
      <c r="CL2" s="464"/>
      <c r="CM2" s="464"/>
      <c r="CN2" s="464"/>
      <c r="CO2" s="464"/>
      <c r="CP2" s="464"/>
      <c r="CQ2" s="464"/>
      <c r="CR2" s="464"/>
      <c r="CS2" s="464"/>
      <c r="CT2" s="464"/>
      <c r="CU2" s="464"/>
      <c r="CV2" s="464"/>
      <c r="CW2" s="464"/>
      <c r="CX2" s="464"/>
      <c r="CY2" s="464"/>
      <c r="CZ2" s="464"/>
      <c r="DA2" s="464"/>
      <c r="DB2" s="464"/>
      <c r="DC2" s="464"/>
      <c r="DD2" s="464"/>
    </row>
    <row r="3" spans="1:108" s="112" customFormat="1" ht="1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465" t="s">
        <v>202</v>
      </c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5"/>
      <c r="BJ3" s="465"/>
      <c r="BK3" s="465"/>
      <c r="BL3" s="465"/>
      <c r="BM3" s="465"/>
      <c r="BN3" s="465"/>
      <c r="BO3" s="465"/>
      <c r="BP3" s="465"/>
      <c r="BQ3" s="465"/>
      <c r="BR3" s="465"/>
      <c r="BS3" s="465"/>
      <c r="BT3" s="465"/>
      <c r="BU3" s="465"/>
      <c r="BV3" s="465"/>
      <c r="BW3" s="465"/>
      <c r="BX3" s="465"/>
      <c r="BY3" s="465"/>
      <c r="BZ3" s="465"/>
      <c r="CA3" s="465"/>
      <c r="CB3" s="465"/>
      <c r="CC3" s="465"/>
      <c r="CD3" s="465"/>
      <c r="CE3" s="465"/>
      <c r="CF3" s="465"/>
      <c r="CG3" s="465"/>
      <c r="CH3" s="465"/>
      <c r="CI3" s="465"/>
      <c r="CJ3" s="465"/>
      <c r="CK3" s="465"/>
      <c r="CL3" s="465"/>
      <c r="CM3" s="465"/>
      <c r="CN3" s="465"/>
      <c r="CO3" s="465"/>
      <c r="CP3" s="465"/>
      <c r="CQ3" s="465"/>
      <c r="CR3" s="465"/>
      <c r="CS3" s="465"/>
      <c r="CT3" s="465"/>
      <c r="CU3" s="465"/>
      <c r="CV3" s="465"/>
      <c r="CW3" s="465"/>
      <c r="CX3" s="465"/>
      <c r="CY3" s="465"/>
      <c r="CZ3" s="465"/>
      <c r="DA3" s="465"/>
      <c r="DB3" s="465"/>
      <c r="DC3" s="465"/>
      <c r="DD3" s="465"/>
    </row>
    <row r="4" spans="1:108" s="112" customFormat="1" ht="12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5" t="s">
        <v>203</v>
      </c>
    </row>
    <row r="5" spans="1:108" s="112" customFormat="1" ht="15" customHeigh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465" t="s">
        <v>202</v>
      </c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C5" s="465"/>
      <c r="BD5" s="465"/>
      <c r="BE5" s="465"/>
      <c r="BF5" s="465"/>
      <c r="BG5" s="465"/>
      <c r="BH5" s="465"/>
      <c r="BI5" s="465"/>
      <c r="BJ5" s="465"/>
      <c r="BK5" s="465"/>
      <c r="BL5" s="465"/>
      <c r="BM5" s="465"/>
      <c r="BN5" s="465"/>
      <c r="BO5" s="465"/>
      <c r="BP5" s="465"/>
      <c r="BQ5" s="465"/>
      <c r="BR5" s="465"/>
      <c r="BS5" s="465"/>
      <c r="BT5" s="465"/>
      <c r="BU5" s="465"/>
      <c r="BV5" s="465"/>
      <c r="BW5" s="465"/>
      <c r="BX5" s="465"/>
      <c r="BY5" s="465"/>
      <c r="BZ5" s="465"/>
      <c r="CA5" s="465"/>
      <c r="CB5" s="465"/>
      <c r="CC5" s="465"/>
      <c r="CD5" s="465"/>
      <c r="CE5" s="465"/>
      <c r="CF5" s="465"/>
      <c r="CG5" s="465"/>
      <c r="CH5" s="465"/>
      <c r="CI5" s="465"/>
      <c r="CJ5" s="465"/>
      <c r="CK5" s="465"/>
      <c r="CL5" s="465"/>
      <c r="CM5" s="465"/>
      <c r="CN5" s="465"/>
      <c r="CO5" s="465"/>
      <c r="CP5" s="465"/>
      <c r="CQ5" s="465"/>
      <c r="CR5" s="465"/>
      <c r="CS5" s="465"/>
      <c r="CT5" s="465"/>
      <c r="CU5" s="465"/>
      <c r="CV5" s="465"/>
      <c r="CW5" s="465"/>
      <c r="CX5" s="465"/>
      <c r="CY5" s="465"/>
      <c r="CZ5" s="465"/>
      <c r="DA5" s="465"/>
      <c r="DB5" s="465"/>
      <c r="DC5" s="465"/>
      <c r="DD5" s="465"/>
    </row>
    <row r="6" spans="1:108" s="112" customFormat="1" ht="12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5" t="s">
        <v>204</v>
      </c>
    </row>
    <row r="7" spans="1:108" s="112" customFormat="1" ht="15.75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3"/>
      <c r="AT7" s="113"/>
      <c r="AU7" s="113"/>
      <c r="AV7" s="113"/>
      <c r="AW7" s="113"/>
      <c r="AX7" s="113"/>
      <c r="AY7" s="113"/>
      <c r="AZ7" s="113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7" t="s">
        <v>205</v>
      </c>
    </row>
    <row r="8" spans="1:108" s="112" customFormat="1" ht="12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I8" s="118" t="s">
        <v>206</v>
      </c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8"/>
    </row>
    <row r="9" spans="1:108" s="112" customFormat="1" ht="15.75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3"/>
      <c r="AT9" s="113"/>
      <c r="AU9" s="113"/>
      <c r="AV9" s="113"/>
      <c r="AW9" s="113"/>
      <c r="AX9" s="113"/>
      <c r="AY9" s="113"/>
      <c r="AZ9" s="113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7"/>
    </row>
    <row r="10" spans="1:108" s="112" customFormat="1" ht="15.75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3"/>
      <c r="AT10" s="113"/>
      <c r="AU10" s="113"/>
      <c r="AV10" s="113"/>
      <c r="AW10" s="113"/>
      <c r="AX10" s="113"/>
      <c r="AY10" s="113"/>
      <c r="AZ10" s="113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7" t="s">
        <v>207</v>
      </c>
    </row>
    <row r="11" spans="1:108" s="112" customFormat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3"/>
      <c r="AT11" s="113"/>
      <c r="AU11" s="113"/>
      <c r="AV11" s="113"/>
      <c r="AW11" s="113"/>
      <c r="AX11" s="113"/>
      <c r="AY11" s="113"/>
      <c r="AZ11" s="113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</row>
    <row r="12" spans="1:108" s="122" customForma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1"/>
      <c r="AT12" s="121"/>
      <c r="AU12" s="121"/>
      <c r="AV12" s="121"/>
      <c r="AW12" s="121"/>
      <c r="AX12" s="121"/>
      <c r="AY12" s="121"/>
      <c r="AZ12" s="121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</row>
    <row r="13" spans="1:108" s="112" customFormat="1" ht="12.75" customHeight="1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3"/>
      <c r="AT13" s="113"/>
      <c r="AU13" s="113"/>
      <c r="AV13" s="113"/>
      <c r="AW13" s="113"/>
      <c r="AX13" s="113"/>
      <c r="AY13" s="113"/>
      <c r="AZ13" s="113"/>
      <c r="BM13" s="124"/>
    </row>
    <row r="14" spans="1:108" s="112" customFormat="1" ht="15.75" customHeight="1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3"/>
      <c r="AT14" s="113"/>
      <c r="AU14" s="113"/>
      <c r="AV14" s="113"/>
      <c r="AW14" s="113"/>
      <c r="AX14" s="113"/>
      <c r="AY14" s="113"/>
      <c r="AZ14" s="113"/>
      <c r="BM14" s="124"/>
    </row>
    <row r="15" spans="1:108" s="112" customFormat="1" ht="11.25" customHeight="1" x14ac:dyDescent="0.2">
      <c r="BM15" s="124"/>
    </row>
    <row r="16" spans="1:108" s="112" customFormat="1" ht="11.25" customHeight="1" x14ac:dyDescent="0.2">
      <c r="BM16" s="124"/>
    </row>
    <row r="17" spans="1:108" s="112" customFormat="1" ht="11.25" customHeight="1" x14ac:dyDescent="0.2">
      <c r="BM17" s="124"/>
    </row>
    <row r="18" spans="1:108" ht="9.75" customHeight="1" x14ac:dyDescent="0.25">
      <c r="N18" s="112"/>
    </row>
    <row r="19" spans="1:108" ht="9.75" customHeight="1" x14ac:dyDescent="0.25">
      <c r="N19" s="112"/>
    </row>
    <row r="20" spans="1:108" ht="9.75" customHeight="1" x14ac:dyDescent="0.25">
      <c r="N20" s="112"/>
    </row>
    <row r="21" spans="1:108" s="126" customFormat="1" ht="15.75" x14ac:dyDescent="0.25">
      <c r="A21" s="466" t="s">
        <v>208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66"/>
      <c r="AU21" s="466"/>
      <c r="AV21" s="466"/>
      <c r="AW21" s="466"/>
      <c r="AX21" s="466"/>
      <c r="AY21" s="466"/>
      <c r="AZ21" s="466"/>
      <c r="BA21" s="466"/>
      <c r="BB21" s="466"/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  <c r="BM21" s="466"/>
      <c r="BN21" s="466"/>
      <c r="BO21" s="466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 s="466"/>
      <c r="CI21" s="466"/>
      <c r="CJ21" s="466"/>
      <c r="CK21" s="466"/>
      <c r="CL21" s="466"/>
      <c r="CM21" s="466"/>
      <c r="CN21" s="466"/>
      <c r="CO21" s="466"/>
      <c r="CP21" s="466"/>
      <c r="CQ21" s="466"/>
      <c r="CR21" s="466"/>
      <c r="CS21" s="466"/>
      <c r="CT21" s="466"/>
      <c r="CU21" s="466"/>
      <c r="CV21" s="466"/>
      <c r="CW21" s="466"/>
      <c r="CX21" s="466"/>
      <c r="CY21" s="466"/>
      <c r="CZ21" s="466"/>
      <c r="DA21" s="466"/>
      <c r="DB21" s="466"/>
      <c r="DC21" s="466"/>
      <c r="DD21" s="466"/>
    </row>
    <row r="22" spans="1:108" s="441" customFormat="1" ht="16.5" x14ac:dyDescent="0.25">
      <c r="A22" s="446" t="s">
        <v>1052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446"/>
      <c r="AY22" s="446"/>
      <c r="AZ22" s="446"/>
      <c r="BA22" s="446"/>
      <c r="BB22" s="446"/>
      <c r="BC22" s="446"/>
      <c r="BD22" s="446"/>
      <c r="BE22" s="446"/>
      <c r="BF22" s="446"/>
      <c r="BG22" s="446"/>
      <c r="BH22" s="446"/>
      <c r="BI22" s="446"/>
      <c r="BJ22" s="446"/>
      <c r="BK22" s="446"/>
      <c r="BL22" s="446"/>
      <c r="BM22" s="446"/>
      <c r="BN22" s="446"/>
      <c r="BO22" s="446"/>
      <c r="BP22" s="446"/>
      <c r="BQ22" s="446"/>
      <c r="BR22" s="446"/>
      <c r="BS22" s="446"/>
      <c r="BT22" s="446"/>
      <c r="BU22" s="446"/>
      <c r="BV22" s="446"/>
      <c r="BW22" s="446"/>
      <c r="BX22" s="446"/>
      <c r="BY22" s="446"/>
      <c r="BZ22" s="446"/>
      <c r="CA22" s="446"/>
      <c r="CB22" s="446"/>
      <c r="CC22" s="446"/>
      <c r="CD22" s="446"/>
      <c r="CE22" s="446"/>
      <c r="CF22" s="446"/>
      <c r="CG22" s="446"/>
      <c r="CH22" s="446"/>
      <c r="CI22" s="446"/>
      <c r="CJ22" s="446"/>
      <c r="CK22" s="446"/>
      <c r="CL22" s="446"/>
      <c r="CM22" s="446"/>
      <c r="CN22" s="446"/>
      <c r="CO22" s="446"/>
      <c r="CP22" s="446"/>
      <c r="CQ22" s="446"/>
      <c r="CR22" s="446"/>
      <c r="CS22" s="446"/>
      <c r="CT22" s="446"/>
      <c r="CU22" s="446"/>
      <c r="CV22" s="446"/>
      <c r="CW22" s="446"/>
      <c r="CX22" s="446"/>
      <c r="CY22" s="446"/>
      <c r="CZ22" s="446"/>
      <c r="DA22" s="446"/>
      <c r="DB22" s="446"/>
      <c r="DC22" s="446"/>
      <c r="DD22" s="446"/>
    </row>
    <row r="23" spans="1:108" x14ac:dyDescent="0.25">
      <c r="A23" s="447" t="s">
        <v>1051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447"/>
      <c r="BC23" s="447"/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</row>
    <row r="24" spans="1:108" ht="17.25" customHeight="1" x14ac:dyDescent="0.25">
      <c r="CO24" s="448" t="s">
        <v>209</v>
      </c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</row>
    <row r="25" spans="1:108" ht="15" customHeight="1" x14ac:dyDescent="0.25">
      <c r="CM25" s="442" t="s">
        <v>210</v>
      </c>
      <c r="CO25" s="449"/>
      <c r="CP25" s="450"/>
      <c r="CQ25" s="450"/>
      <c r="CR25" s="450"/>
      <c r="CS25" s="450"/>
      <c r="CT25" s="450"/>
      <c r="CU25" s="450"/>
      <c r="CV25" s="450"/>
      <c r="CW25" s="450"/>
      <c r="CX25" s="450"/>
      <c r="CY25" s="450"/>
      <c r="CZ25" s="450"/>
      <c r="DA25" s="450"/>
      <c r="DB25" s="450"/>
      <c r="DC25" s="450"/>
      <c r="DD25" s="451"/>
    </row>
    <row r="26" spans="1:108" ht="15" customHeight="1" x14ac:dyDescent="0.25">
      <c r="AJ26" s="443"/>
      <c r="AK26" s="444" t="s">
        <v>1053</v>
      </c>
      <c r="AL26" s="452" t="s">
        <v>1054</v>
      </c>
      <c r="AM26" s="452"/>
      <c r="AN26" s="452"/>
      <c r="AO26" s="452"/>
      <c r="AP26" s="443" t="s">
        <v>1053</v>
      </c>
      <c r="AQ26" s="443"/>
      <c r="AR26" s="443"/>
      <c r="AS26" s="452" t="s">
        <v>1055</v>
      </c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3">
        <v>20</v>
      </c>
      <c r="BL26" s="453"/>
      <c r="BM26" s="453"/>
      <c r="BN26" s="453"/>
      <c r="BO26" s="454" t="s">
        <v>1056</v>
      </c>
      <c r="BP26" s="454"/>
      <c r="BQ26" s="454"/>
      <c r="BR26" s="454"/>
      <c r="BS26" s="443" t="s">
        <v>1057</v>
      </c>
      <c r="BT26" s="443"/>
      <c r="BU26" s="443"/>
      <c r="BY26" s="445"/>
      <c r="CM26" s="442" t="s">
        <v>1058</v>
      </c>
      <c r="CO26" s="449" t="s">
        <v>1059</v>
      </c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  <c r="DD26" s="451"/>
    </row>
    <row r="27" spans="1:108" ht="15" customHeight="1" x14ac:dyDescent="0.25">
      <c r="BY27" s="445"/>
      <c r="BZ27" s="445"/>
      <c r="CM27" s="442"/>
      <c r="CO27" s="449"/>
      <c r="CP27" s="450"/>
      <c r="CQ27" s="450"/>
      <c r="CR27" s="450"/>
      <c r="CS27" s="450"/>
      <c r="CT27" s="450"/>
      <c r="CU27" s="450"/>
      <c r="CV27" s="450"/>
      <c r="CW27" s="450"/>
      <c r="CX27" s="450"/>
      <c r="CY27" s="450"/>
      <c r="CZ27" s="450"/>
      <c r="DA27" s="450"/>
      <c r="DB27" s="450"/>
      <c r="DC27" s="450"/>
      <c r="DD27" s="451"/>
    </row>
    <row r="28" spans="1:108" s="126" customFormat="1" ht="15" customHeight="1" x14ac:dyDescent="0.25">
      <c r="A28" s="467" t="s">
        <v>787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  <c r="AE28" s="467"/>
      <c r="AF28" s="467"/>
      <c r="AG28" s="467"/>
      <c r="AH28" s="467"/>
      <c r="AI28" s="467"/>
      <c r="AJ28" s="467"/>
      <c r="AK28" s="467"/>
      <c r="AL28" s="467"/>
      <c r="AM28" s="467"/>
      <c r="AN28" s="467"/>
      <c r="AO28" s="467"/>
      <c r="AP28" s="467"/>
      <c r="AQ28" s="467"/>
      <c r="AR28" s="467"/>
      <c r="AS28" s="467"/>
      <c r="AT28" s="467"/>
      <c r="AU28" s="467"/>
      <c r="AV28" s="467"/>
      <c r="AW28" s="467"/>
      <c r="AX28" s="467"/>
      <c r="AY28" s="467"/>
      <c r="AZ28" s="467"/>
      <c r="BA28" s="467"/>
      <c r="BB28" s="467"/>
      <c r="BC28" s="467"/>
      <c r="BD28" s="467"/>
      <c r="BE28" s="467"/>
      <c r="BF28" s="467"/>
      <c r="BG28" s="467"/>
      <c r="BH28" s="467"/>
      <c r="BI28" s="467"/>
      <c r="BJ28" s="467"/>
      <c r="BK28" s="467"/>
      <c r="BL28" s="467"/>
      <c r="BM28" s="467"/>
      <c r="BN28" s="467"/>
      <c r="BO28" s="467"/>
      <c r="BP28" s="467"/>
      <c r="BQ28" s="467"/>
      <c r="BR28" s="467"/>
      <c r="BS28" s="467"/>
      <c r="BT28" s="467"/>
      <c r="BU28" s="467"/>
      <c r="BV28" s="467"/>
      <c r="BW28" s="467"/>
      <c r="BX28" s="467"/>
      <c r="BY28" s="467"/>
      <c r="BZ28" s="130"/>
      <c r="CM28" s="127" t="s">
        <v>189</v>
      </c>
      <c r="CO28" s="468" t="s">
        <v>788</v>
      </c>
      <c r="CP28" s="469"/>
      <c r="CQ28" s="469"/>
      <c r="CR28" s="469"/>
      <c r="CS28" s="469"/>
      <c r="CT28" s="469"/>
      <c r="CU28" s="469"/>
      <c r="CV28" s="469"/>
      <c r="CW28" s="469"/>
      <c r="CX28" s="469"/>
      <c r="CY28" s="469"/>
      <c r="CZ28" s="469"/>
      <c r="DA28" s="469"/>
      <c r="DB28" s="469"/>
      <c r="DC28" s="469"/>
      <c r="DD28" s="470"/>
    </row>
    <row r="29" spans="1:108" s="126" customFormat="1" x14ac:dyDescent="0.25">
      <c r="A29" s="471" t="s">
        <v>211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471"/>
      <c r="BH29" s="471"/>
      <c r="BI29" s="471"/>
      <c r="BJ29" s="471"/>
      <c r="BK29" s="471"/>
      <c r="BL29" s="471"/>
      <c r="BM29" s="471"/>
      <c r="BN29" s="471"/>
      <c r="BO29" s="471"/>
      <c r="BP29" s="471"/>
      <c r="BQ29" s="471"/>
      <c r="BR29" s="471"/>
      <c r="BS29" s="471"/>
      <c r="BT29" s="471"/>
      <c r="BU29" s="471"/>
      <c r="BV29" s="471"/>
      <c r="BW29" s="471"/>
      <c r="BX29" s="471"/>
      <c r="BY29" s="471"/>
      <c r="BZ29" s="130"/>
      <c r="CM29" s="131"/>
      <c r="CO29" s="468"/>
      <c r="CP29" s="469"/>
      <c r="CQ29" s="469"/>
      <c r="CR29" s="469"/>
      <c r="CS29" s="469"/>
      <c r="CT29" s="469"/>
      <c r="CU29" s="469"/>
      <c r="CV29" s="469"/>
      <c r="CW29" s="469"/>
      <c r="CX29" s="469"/>
      <c r="CY29" s="469"/>
      <c r="CZ29" s="469"/>
      <c r="DA29" s="469"/>
      <c r="DB29" s="469"/>
      <c r="DC29" s="469"/>
      <c r="DD29" s="470"/>
    </row>
    <row r="30" spans="1:108" s="126" customFormat="1" ht="11.25" customHeight="1" x14ac:dyDescent="0.25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7"/>
      <c r="BM30" s="377"/>
      <c r="BN30" s="377"/>
      <c r="BO30" s="377"/>
      <c r="BP30" s="377"/>
      <c r="BQ30" s="377"/>
      <c r="BR30" s="377"/>
      <c r="BS30" s="377"/>
      <c r="BT30" s="377"/>
      <c r="BU30" s="377"/>
      <c r="BV30" s="377"/>
      <c r="BW30" s="377"/>
      <c r="BX30" s="377"/>
      <c r="BY30" s="377"/>
      <c r="BZ30" s="130"/>
      <c r="CM30" s="131"/>
      <c r="CO30" s="468"/>
      <c r="CP30" s="469"/>
      <c r="CQ30" s="469"/>
      <c r="CR30" s="469"/>
      <c r="CS30" s="469"/>
      <c r="CT30" s="469"/>
      <c r="CU30" s="469"/>
      <c r="CV30" s="469"/>
      <c r="CW30" s="469"/>
      <c r="CX30" s="469"/>
      <c r="CY30" s="469"/>
      <c r="CZ30" s="469"/>
      <c r="DA30" s="469"/>
      <c r="DB30" s="469"/>
      <c r="DC30" s="469"/>
      <c r="DD30" s="470"/>
    </row>
    <row r="31" spans="1:108" s="126" customFormat="1" ht="18.95" customHeight="1" x14ac:dyDescent="0.25"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Y31" s="129"/>
      <c r="BZ31" s="129"/>
      <c r="CM31" s="127"/>
      <c r="CO31" s="472"/>
      <c r="CP31" s="473"/>
      <c r="CQ31" s="473"/>
      <c r="CR31" s="473"/>
      <c r="CS31" s="473"/>
      <c r="CT31" s="473"/>
      <c r="CU31" s="473"/>
      <c r="CV31" s="473"/>
      <c r="CW31" s="473"/>
      <c r="CX31" s="473"/>
      <c r="CY31" s="473"/>
      <c r="CZ31" s="473"/>
      <c r="DA31" s="473"/>
      <c r="DB31" s="473"/>
      <c r="DC31" s="473"/>
      <c r="DD31" s="474"/>
    </row>
    <row r="32" spans="1:108" s="134" customFormat="1" ht="18.95" customHeight="1" x14ac:dyDescent="0.25">
      <c r="A32" s="133" t="s">
        <v>212</v>
      </c>
      <c r="X32" s="475" t="s">
        <v>789</v>
      </c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CM32" s="136"/>
      <c r="CO32" s="476"/>
      <c r="CP32" s="477"/>
      <c r="CQ32" s="477"/>
      <c r="CR32" s="477"/>
      <c r="CS32" s="477"/>
      <c r="CT32" s="477"/>
      <c r="CU32" s="477"/>
      <c r="CV32" s="477"/>
      <c r="CW32" s="477"/>
      <c r="CX32" s="477"/>
      <c r="CY32" s="477"/>
      <c r="CZ32" s="477"/>
      <c r="DA32" s="477"/>
      <c r="DB32" s="477"/>
      <c r="DC32" s="477"/>
      <c r="DD32" s="478"/>
    </row>
    <row r="33" spans="1:108" s="134" customFormat="1" ht="16.5" customHeight="1" x14ac:dyDescent="0.25">
      <c r="A33" s="137" t="s">
        <v>213</v>
      </c>
      <c r="B33" s="133"/>
      <c r="CM33" s="138" t="s">
        <v>214</v>
      </c>
      <c r="CO33" s="476" t="s">
        <v>215</v>
      </c>
      <c r="CP33" s="477"/>
      <c r="CQ33" s="477"/>
      <c r="CR33" s="477"/>
      <c r="CS33" s="477"/>
      <c r="CT33" s="477"/>
      <c r="CU33" s="477"/>
      <c r="CV33" s="477"/>
      <c r="CW33" s="477"/>
      <c r="CX33" s="477"/>
      <c r="CY33" s="477"/>
      <c r="CZ33" s="477"/>
      <c r="DA33" s="477"/>
      <c r="DB33" s="477"/>
      <c r="DC33" s="477"/>
      <c r="DD33" s="478"/>
    </row>
    <row r="34" spans="1:108" s="134" customFormat="1" ht="3" customHeight="1" x14ac:dyDescent="0.25">
      <c r="A34" s="139"/>
      <c r="BX34" s="139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</row>
    <row r="35" spans="1:108" s="126" customFormat="1" ht="15" customHeight="1" x14ac:dyDescent="0.25">
      <c r="A35" s="459" t="s">
        <v>216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/>
      <c r="AZ35" s="459"/>
      <c r="BA35" s="459"/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</row>
    <row r="36" spans="1:108" s="126" customFormat="1" ht="12" customHeight="1" x14ac:dyDescent="0.25">
      <c r="A36" s="460" t="s">
        <v>217</v>
      </c>
      <c r="B36" s="460"/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141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</row>
    <row r="37" spans="1:108" s="126" customFormat="1" x14ac:dyDescent="0.25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6"/>
      <c r="CP37" s="146"/>
      <c r="CQ37" s="146"/>
      <c r="CR37" s="146"/>
      <c r="CS37" s="146"/>
      <c r="CT37" s="146"/>
      <c r="CU37" s="146"/>
      <c r="CV37" s="146"/>
    </row>
    <row r="38" spans="1:108" s="126" customFormat="1" ht="15" customHeight="1" x14ac:dyDescent="0.25">
      <c r="A38" s="461" t="s">
        <v>790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  <c r="AT38" s="461"/>
      <c r="AU38" s="461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461"/>
      <c r="BJ38" s="461"/>
      <c r="BK38" s="461"/>
      <c r="BL38" s="461"/>
      <c r="BM38" s="461"/>
      <c r="BN38" s="461"/>
      <c r="BO38" s="461"/>
      <c r="BP38" s="461"/>
      <c r="BQ38" s="461"/>
      <c r="BR38" s="461"/>
      <c r="BS38" s="461"/>
      <c r="BT38" s="461"/>
      <c r="BU38" s="461"/>
      <c r="BV38" s="461"/>
      <c r="BW38" s="461"/>
      <c r="BX38" s="461"/>
      <c r="BY38" s="461"/>
      <c r="BZ38" s="147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</row>
    <row r="39" spans="1:108" s="126" customFormat="1" ht="13.5" customHeight="1" x14ac:dyDescent="0.25">
      <c r="A39" s="462" t="s">
        <v>218</v>
      </c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  <c r="AZ39" s="462"/>
      <c r="BA39" s="462"/>
      <c r="BB39" s="462"/>
      <c r="BC39" s="462"/>
      <c r="BD39" s="462"/>
      <c r="BE39" s="462"/>
      <c r="BF39" s="462"/>
      <c r="BG39" s="462"/>
      <c r="BH39" s="462"/>
      <c r="BI39" s="462"/>
      <c r="BJ39" s="462"/>
      <c r="BK39" s="462"/>
      <c r="BL39" s="462"/>
      <c r="BM39" s="462"/>
      <c r="BN39" s="462"/>
      <c r="BO39" s="462"/>
      <c r="BP39" s="462"/>
      <c r="BQ39" s="462"/>
      <c r="BR39" s="462"/>
      <c r="BS39" s="462"/>
      <c r="BT39" s="462"/>
      <c r="BU39" s="462"/>
      <c r="BV39" s="462"/>
      <c r="BW39" s="462"/>
      <c r="BX39" s="462"/>
      <c r="BY39" s="462"/>
      <c r="BZ39" s="147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</row>
    <row r="40" spans="1:108" s="126" customFormat="1" x14ac:dyDescent="0.25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</row>
    <row r="41" spans="1:108" s="126" customFormat="1" ht="9.9499999999999993" customHeight="1" x14ac:dyDescent="0.25">
      <c r="A41" s="463" t="s">
        <v>219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3"/>
      <c r="CM41" s="463"/>
      <c r="CN41" s="463"/>
      <c r="CO41" s="463"/>
      <c r="CP41" s="463"/>
      <c r="CQ41" s="463"/>
      <c r="CR41" s="463"/>
      <c r="CS41" s="463"/>
      <c r="CT41" s="463"/>
      <c r="CU41" s="463"/>
      <c r="CV41" s="463"/>
      <c r="CW41" s="463"/>
      <c r="CX41" s="463"/>
      <c r="CY41" s="463"/>
      <c r="CZ41" s="463"/>
      <c r="DA41" s="463"/>
      <c r="DB41" s="463"/>
      <c r="DC41" s="463"/>
      <c r="DD41" s="463"/>
    </row>
    <row r="42" spans="1:108" s="128" customFormat="1" ht="9.9499999999999993" customHeight="1" x14ac:dyDescent="0.2">
      <c r="A42" s="463"/>
      <c r="B42" s="463"/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463"/>
      <c r="AQ42" s="463"/>
      <c r="AR42" s="463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3"/>
      <c r="CK42" s="463"/>
      <c r="CL42" s="463"/>
      <c r="CM42" s="463"/>
      <c r="CN42" s="463"/>
      <c r="CO42" s="463"/>
      <c r="CP42" s="463"/>
      <c r="CQ42" s="463"/>
      <c r="CR42" s="463"/>
      <c r="CS42" s="463"/>
      <c r="CT42" s="463"/>
      <c r="CU42" s="463"/>
      <c r="CV42" s="463"/>
      <c r="CW42" s="463"/>
      <c r="CX42" s="463"/>
      <c r="CY42" s="463"/>
      <c r="CZ42" s="463"/>
      <c r="DA42" s="463"/>
      <c r="DB42" s="463"/>
      <c r="DC42" s="463"/>
      <c r="DD42" s="463"/>
    </row>
    <row r="43" spans="1:108" s="126" customFormat="1" ht="14.25" customHeight="1" x14ac:dyDescent="0.25">
      <c r="A43" s="358" t="s">
        <v>220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79"/>
      <c r="CM43" s="379"/>
      <c r="CN43" s="379"/>
      <c r="CO43" s="379"/>
      <c r="CP43" s="379"/>
      <c r="CQ43" s="379"/>
      <c r="CR43" s="379"/>
      <c r="CS43" s="379"/>
      <c r="CT43" s="379"/>
      <c r="CU43" s="379"/>
      <c r="CV43" s="379"/>
      <c r="CW43" s="379"/>
      <c r="CX43" s="379"/>
      <c r="CY43" s="379"/>
      <c r="CZ43" s="379"/>
      <c r="DA43" s="379"/>
      <c r="DB43" s="379"/>
      <c r="DC43" s="379"/>
      <c r="DD43" s="379"/>
    </row>
    <row r="44" spans="1:108" s="126" customFormat="1" x14ac:dyDescent="0.25">
      <c r="A44" s="455" t="s">
        <v>221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  <c r="AU44" s="455"/>
      <c r="AV44" s="455"/>
      <c r="AW44" s="455"/>
      <c r="AX44" s="455"/>
      <c r="AY44" s="455"/>
      <c r="AZ44" s="455"/>
      <c r="BA44" s="455"/>
      <c r="BB44" s="455"/>
      <c r="BC44" s="455"/>
      <c r="BD44" s="455"/>
      <c r="BE44" s="455"/>
      <c r="BF44" s="455"/>
      <c r="BG44" s="455"/>
      <c r="BH44" s="455"/>
      <c r="BI44" s="455"/>
      <c r="BJ44" s="455"/>
      <c r="BK44" s="455"/>
      <c r="BL44" s="455"/>
      <c r="BM44" s="455"/>
      <c r="BN44" s="455"/>
      <c r="BO44" s="455"/>
      <c r="BP44" s="455"/>
      <c r="BQ44" s="455"/>
      <c r="BR44" s="455"/>
      <c r="BS44" s="455"/>
      <c r="BT44" s="455"/>
      <c r="BU44" s="455"/>
      <c r="BV44" s="455"/>
      <c r="BW44" s="455"/>
      <c r="BX44" s="455"/>
      <c r="BY44" s="455"/>
      <c r="BZ44" s="455"/>
      <c r="CA44" s="455"/>
      <c r="CB44" s="455"/>
      <c r="CC44" s="455"/>
      <c r="CD44" s="455"/>
      <c r="CE44" s="455"/>
      <c r="CF44" s="455"/>
      <c r="CG44" s="455"/>
      <c r="CH44" s="455"/>
      <c r="CI44" s="455"/>
      <c r="CJ44" s="455"/>
      <c r="CK44" s="455"/>
      <c r="CL44" s="455"/>
      <c r="CM44" s="455"/>
      <c r="CN44" s="455"/>
      <c r="CO44" s="455"/>
      <c r="CP44" s="455"/>
      <c r="CQ44" s="455"/>
      <c r="CR44" s="455"/>
      <c r="CS44" s="455"/>
      <c r="CT44" s="455"/>
      <c r="CU44" s="455"/>
      <c r="CV44" s="455"/>
      <c r="CW44" s="455"/>
      <c r="CX44" s="455"/>
      <c r="CY44" s="455"/>
      <c r="CZ44" s="455"/>
      <c r="DA44" s="455"/>
      <c r="DB44" s="455"/>
      <c r="DC44" s="455"/>
      <c r="DD44" s="455"/>
    </row>
    <row r="45" spans="1:108" s="126" customFormat="1" ht="18.75" customHeight="1" x14ac:dyDescent="0.25">
      <c r="A45" s="456" t="s">
        <v>222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6"/>
      <c r="AY45" s="456"/>
      <c r="AZ45" s="456"/>
      <c r="BA45" s="456"/>
      <c r="BB45" s="456"/>
      <c r="BC45" s="456"/>
      <c r="BD45" s="456"/>
      <c r="BE45" s="456"/>
      <c r="BF45" s="456"/>
      <c r="BG45" s="456"/>
      <c r="BH45" s="456"/>
      <c r="BI45" s="456"/>
      <c r="BJ45" s="456"/>
      <c r="BK45" s="456"/>
      <c r="BL45" s="456"/>
      <c r="BM45" s="456"/>
      <c r="BN45" s="456"/>
      <c r="BO45" s="456"/>
      <c r="BP45" s="456"/>
      <c r="BQ45" s="456"/>
      <c r="BR45" s="456"/>
      <c r="BS45" s="456"/>
      <c r="BT45" s="456"/>
      <c r="BU45" s="456"/>
      <c r="BV45" s="456"/>
      <c r="BW45" s="456"/>
      <c r="BX45" s="456"/>
      <c r="BY45" s="456"/>
      <c r="BZ45" s="456"/>
      <c r="CA45" s="456"/>
      <c r="CB45" s="456"/>
      <c r="CC45" s="456"/>
      <c r="CD45" s="456"/>
      <c r="CE45" s="456"/>
      <c r="CF45" s="456"/>
      <c r="CG45" s="456"/>
      <c r="CH45" s="456"/>
      <c r="CI45" s="456"/>
      <c r="CJ45" s="456"/>
      <c r="CK45" s="456"/>
      <c r="CL45" s="456"/>
      <c r="CM45" s="456"/>
      <c r="CN45" s="456"/>
      <c r="CO45" s="456"/>
      <c r="CP45" s="456"/>
      <c r="CQ45" s="456"/>
      <c r="CR45" s="456"/>
      <c r="CS45" s="456"/>
      <c r="CT45" s="456"/>
      <c r="CU45" s="456"/>
      <c r="CV45" s="456"/>
      <c r="CW45" s="456"/>
      <c r="CX45" s="456"/>
      <c r="CY45" s="456"/>
      <c r="CZ45" s="456"/>
      <c r="DA45" s="456"/>
      <c r="DB45" s="456"/>
      <c r="DC45" s="456"/>
      <c r="DD45" s="456"/>
    </row>
    <row r="46" spans="1:108" s="126" customFormat="1" x14ac:dyDescent="0.25">
      <c r="A46" s="457" t="s">
        <v>791</v>
      </c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  <c r="BA46" s="457"/>
      <c r="BB46" s="457"/>
      <c r="BC46" s="457"/>
      <c r="BD46" s="457"/>
      <c r="BE46" s="457"/>
      <c r="BF46" s="457"/>
      <c r="BG46" s="457"/>
      <c r="BH46" s="457"/>
      <c r="BI46" s="457"/>
      <c r="BJ46" s="457"/>
      <c r="BK46" s="457"/>
      <c r="BL46" s="457"/>
      <c r="BM46" s="457"/>
      <c r="BN46" s="457"/>
      <c r="BO46" s="457"/>
      <c r="BP46" s="457"/>
      <c r="BQ46" s="457"/>
      <c r="BR46" s="457"/>
      <c r="BS46" s="457"/>
      <c r="BT46" s="457"/>
      <c r="BU46" s="457"/>
      <c r="BV46" s="457"/>
      <c r="BW46" s="457"/>
      <c r="BX46" s="457"/>
      <c r="BY46" s="457"/>
      <c r="BZ46" s="457"/>
      <c r="CA46" s="457"/>
      <c r="CB46" s="457"/>
      <c r="CC46" s="457"/>
      <c r="CD46" s="457"/>
      <c r="CE46" s="457"/>
      <c r="CF46" s="457"/>
      <c r="CG46" s="457"/>
      <c r="CH46" s="457"/>
      <c r="CI46" s="457"/>
      <c r="CJ46" s="457"/>
      <c r="CK46" s="457"/>
      <c r="CL46" s="457"/>
      <c r="CM46" s="457"/>
      <c r="CN46" s="457"/>
      <c r="CO46" s="457"/>
      <c r="CP46" s="457"/>
      <c r="CQ46" s="457"/>
      <c r="CR46" s="457"/>
      <c r="CS46" s="457"/>
      <c r="CT46" s="457"/>
      <c r="CU46" s="457"/>
      <c r="CV46" s="457"/>
      <c r="CW46" s="457"/>
      <c r="CX46" s="457"/>
      <c r="CY46" s="457"/>
      <c r="CZ46" s="457"/>
      <c r="DA46" s="457"/>
      <c r="DB46" s="457"/>
      <c r="DC46" s="457"/>
      <c r="DD46" s="457"/>
    </row>
    <row r="47" spans="1:108" s="126" customFormat="1" x14ac:dyDescent="0.25">
      <c r="A47" s="457"/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57"/>
      <c r="BB47" s="457"/>
      <c r="BC47" s="457"/>
      <c r="BD47" s="457"/>
      <c r="BE47" s="457"/>
      <c r="BF47" s="457"/>
      <c r="BG47" s="457"/>
      <c r="BH47" s="457"/>
      <c r="BI47" s="457"/>
      <c r="BJ47" s="457"/>
      <c r="BK47" s="457"/>
      <c r="BL47" s="457"/>
      <c r="BM47" s="457"/>
      <c r="BN47" s="457"/>
      <c r="BO47" s="457"/>
      <c r="BP47" s="457"/>
      <c r="BQ47" s="457"/>
      <c r="BR47" s="457"/>
      <c r="BS47" s="457"/>
      <c r="BT47" s="457"/>
      <c r="BU47" s="457"/>
      <c r="BV47" s="457"/>
      <c r="BW47" s="457"/>
      <c r="BX47" s="457"/>
      <c r="BY47" s="457"/>
      <c r="BZ47" s="457"/>
      <c r="CA47" s="457"/>
      <c r="CB47" s="457"/>
      <c r="CC47" s="457"/>
      <c r="CD47" s="457"/>
      <c r="CE47" s="457"/>
      <c r="CF47" s="457"/>
      <c r="CG47" s="457"/>
      <c r="CH47" s="457"/>
      <c r="CI47" s="457"/>
      <c r="CJ47" s="457"/>
      <c r="CK47" s="457"/>
      <c r="CL47" s="457"/>
      <c r="CM47" s="457"/>
      <c r="CN47" s="457"/>
      <c r="CO47" s="457"/>
      <c r="CP47" s="457"/>
      <c r="CQ47" s="457"/>
      <c r="CR47" s="457"/>
      <c r="CS47" s="457"/>
      <c r="CT47" s="457"/>
      <c r="CU47" s="457"/>
      <c r="CV47" s="457"/>
      <c r="CW47" s="457"/>
      <c r="CX47" s="457"/>
      <c r="CY47" s="457"/>
      <c r="CZ47" s="457"/>
      <c r="DA47" s="457"/>
      <c r="DB47" s="457"/>
      <c r="DC47" s="457"/>
      <c r="DD47" s="457"/>
    </row>
    <row r="48" spans="1:108" s="126" customFormat="1" ht="14.25" customHeight="1" x14ac:dyDescent="0.25">
      <c r="A48" s="456" t="s">
        <v>223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</row>
    <row r="49" spans="1:108" s="126" customFormat="1" x14ac:dyDescent="0.25">
      <c r="A49" s="455"/>
      <c r="B49" s="458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58"/>
      <c r="BF49" s="458"/>
      <c r="BG49" s="458"/>
      <c r="BH49" s="458"/>
      <c r="BI49" s="458"/>
      <c r="BJ49" s="458"/>
      <c r="BK49" s="458"/>
      <c r="BL49" s="458"/>
      <c r="BM49" s="458"/>
      <c r="BN49" s="458"/>
      <c r="BO49" s="458"/>
      <c r="BP49" s="458"/>
      <c r="BQ49" s="458"/>
      <c r="BR49" s="458"/>
      <c r="BS49" s="458"/>
      <c r="BT49" s="458"/>
      <c r="BU49" s="458"/>
      <c r="BV49" s="458"/>
      <c r="BW49" s="458"/>
      <c r="BX49" s="458"/>
      <c r="BY49" s="458"/>
      <c r="BZ49" s="458"/>
      <c r="CA49" s="458"/>
      <c r="CB49" s="458"/>
      <c r="CC49" s="458"/>
      <c r="CD49" s="458"/>
      <c r="CE49" s="458"/>
      <c r="CF49" s="458"/>
      <c r="CG49" s="458"/>
      <c r="CH49" s="458"/>
      <c r="CI49" s="458"/>
      <c r="CJ49" s="458"/>
      <c r="CK49" s="458"/>
      <c r="CL49" s="458"/>
      <c r="CM49" s="458"/>
      <c r="CN49" s="458"/>
      <c r="CO49" s="458"/>
      <c r="CP49" s="458"/>
      <c r="CQ49" s="458"/>
      <c r="CR49" s="458"/>
      <c r="CS49" s="458"/>
      <c r="CT49" s="458"/>
      <c r="CU49" s="458"/>
      <c r="CV49" s="458"/>
      <c r="CW49" s="458"/>
      <c r="CX49" s="458"/>
      <c r="CY49" s="458"/>
      <c r="CZ49" s="458"/>
      <c r="DA49" s="458"/>
      <c r="DB49" s="458"/>
      <c r="DC49" s="458"/>
      <c r="DD49" s="458"/>
    </row>
  </sheetData>
  <mergeCells count="33">
    <mergeCell ref="BI2:DD2"/>
    <mergeCell ref="AA3:DD3"/>
    <mergeCell ref="AA5:DD5"/>
    <mergeCell ref="A21:DD21"/>
    <mergeCell ref="A28:BY28"/>
    <mergeCell ref="CO28:DD28"/>
    <mergeCell ref="A49:DD49"/>
    <mergeCell ref="A35:CO35"/>
    <mergeCell ref="A36:BY36"/>
    <mergeCell ref="A38:BY38"/>
    <mergeCell ref="A39:BY39"/>
    <mergeCell ref="A41:DD42"/>
    <mergeCell ref="CO27:DD27"/>
    <mergeCell ref="A44:DD44"/>
    <mergeCell ref="A45:DD45"/>
    <mergeCell ref="A46:DD47"/>
    <mergeCell ref="A48:DD48"/>
    <mergeCell ref="A29:BY29"/>
    <mergeCell ref="CO29:DD29"/>
    <mergeCell ref="CO30:DD30"/>
    <mergeCell ref="CO31:DD31"/>
    <mergeCell ref="X32:BK32"/>
    <mergeCell ref="CO32:DD32"/>
    <mergeCell ref="CO33:DD33"/>
    <mergeCell ref="A22:DD22"/>
    <mergeCell ref="A23:DD23"/>
    <mergeCell ref="CO24:DD24"/>
    <mergeCell ref="CO25:DD25"/>
    <mergeCell ref="AL26:AO26"/>
    <mergeCell ref="AS26:BJ26"/>
    <mergeCell ref="BK26:BN26"/>
    <mergeCell ref="BO26:BR26"/>
    <mergeCell ref="CO26:DD26"/>
  </mergeCells>
  <pageMargins left="0.75" right="0.75" top="0.47" bottom="0.45" header="0.25" footer="0.23"/>
  <pageSetup paperSize="9" scale="93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view="pageBreakPreview" topLeftCell="A49" zoomScaleNormal="100" zoomScaleSheetLayoutView="100" workbookViewId="0">
      <selection activeCell="F54" sqref="F54"/>
    </sheetView>
  </sheetViews>
  <sheetFormatPr defaultRowHeight="12.75" x14ac:dyDescent="0.2"/>
  <cols>
    <col min="1" max="1" width="50" style="96" customWidth="1"/>
    <col min="2" max="2" width="8.140625" style="96" customWidth="1"/>
    <col min="3" max="3" width="20.28515625" style="96" customWidth="1"/>
    <col min="4" max="4" width="13.140625" style="96" customWidth="1"/>
    <col min="5" max="6" width="14.28515625" style="96" bestFit="1" customWidth="1"/>
    <col min="7" max="7" width="14.140625" style="96" customWidth="1"/>
    <col min="8" max="8" width="11.5703125" style="96" customWidth="1"/>
    <col min="9" max="9" width="10.42578125" style="96" bestFit="1" customWidth="1"/>
    <col min="10" max="10" width="12.7109375" style="96" customWidth="1"/>
    <col min="11" max="256" width="9.140625" style="96"/>
    <col min="257" max="257" width="50" style="96" customWidth="1"/>
    <col min="258" max="258" width="9.140625" style="96"/>
    <col min="259" max="259" width="21.85546875" style="96" customWidth="1"/>
    <col min="260" max="260" width="13.140625" style="96" customWidth="1"/>
    <col min="261" max="261" width="12.85546875" style="96" customWidth="1"/>
    <col min="262" max="264" width="11.5703125" style="96" customWidth="1"/>
    <col min="265" max="512" width="9.140625" style="96"/>
    <col min="513" max="513" width="50" style="96" customWidth="1"/>
    <col min="514" max="514" width="9.140625" style="96"/>
    <col min="515" max="515" width="21.85546875" style="96" customWidth="1"/>
    <col min="516" max="516" width="13.140625" style="96" customWidth="1"/>
    <col min="517" max="517" width="12.85546875" style="96" customWidth="1"/>
    <col min="518" max="520" width="11.5703125" style="96" customWidth="1"/>
    <col min="521" max="768" width="9.140625" style="96"/>
    <col min="769" max="769" width="50" style="96" customWidth="1"/>
    <col min="770" max="770" width="9.140625" style="96"/>
    <col min="771" max="771" width="21.85546875" style="96" customWidth="1"/>
    <col min="772" max="772" width="13.140625" style="96" customWidth="1"/>
    <col min="773" max="773" width="12.85546875" style="96" customWidth="1"/>
    <col min="774" max="776" width="11.5703125" style="96" customWidth="1"/>
    <col min="777" max="1024" width="9.140625" style="96"/>
    <col min="1025" max="1025" width="50" style="96" customWidth="1"/>
    <col min="1026" max="1026" width="9.140625" style="96"/>
    <col min="1027" max="1027" width="21.85546875" style="96" customWidth="1"/>
    <col min="1028" max="1028" width="13.140625" style="96" customWidth="1"/>
    <col min="1029" max="1029" width="12.85546875" style="96" customWidth="1"/>
    <col min="1030" max="1032" width="11.5703125" style="96" customWidth="1"/>
    <col min="1033" max="1280" width="9.140625" style="96"/>
    <col min="1281" max="1281" width="50" style="96" customWidth="1"/>
    <col min="1282" max="1282" width="9.140625" style="96"/>
    <col min="1283" max="1283" width="21.85546875" style="96" customWidth="1"/>
    <col min="1284" max="1284" width="13.140625" style="96" customWidth="1"/>
    <col min="1285" max="1285" width="12.85546875" style="96" customWidth="1"/>
    <col min="1286" max="1288" width="11.5703125" style="96" customWidth="1"/>
    <col min="1289" max="1536" width="9.140625" style="96"/>
    <col min="1537" max="1537" width="50" style="96" customWidth="1"/>
    <col min="1538" max="1538" width="9.140625" style="96"/>
    <col min="1539" max="1539" width="21.85546875" style="96" customWidth="1"/>
    <col min="1540" max="1540" width="13.140625" style="96" customWidth="1"/>
    <col min="1541" max="1541" width="12.85546875" style="96" customWidth="1"/>
    <col min="1542" max="1544" width="11.5703125" style="96" customWidth="1"/>
    <col min="1545" max="1792" width="9.140625" style="96"/>
    <col min="1793" max="1793" width="50" style="96" customWidth="1"/>
    <col min="1794" max="1794" width="9.140625" style="96"/>
    <col min="1795" max="1795" width="21.85546875" style="96" customWidth="1"/>
    <col min="1796" max="1796" width="13.140625" style="96" customWidth="1"/>
    <col min="1797" max="1797" width="12.85546875" style="96" customWidth="1"/>
    <col min="1798" max="1800" width="11.5703125" style="96" customWidth="1"/>
    <col min="1801" max="2048" width="9.140625" style="96"/>
    <col min="2049" max="2049" width="50" style="96" customWidth="1"/>
    <col min="2050" max="2050" width="9.140625" style="96"/>
    <col min="2051" max="2051" width="21.85546875" style="96" customWidth="1"/>
    <col min="2052" max="2052" width="13.140625" style="96" customWidth="1"/>
    <col min="2053" max="2053" width="12.85546875" style="96" customWidth="1"/>
    <col min="2054" max="2056" width="11.5703125" style="96" customWidth="1"/>
    <col min="2057" max="2304" width="9.140625" style="96"/>
    <col min="2305" max="2305" width="50" style="96" customWidth="1"/>
    <col min="2306" max="2306" width="9.140625" style="96"/>
    <col min="2307" max="2307" width="21.85546875" style="96" customWidth="1"/>
    <col min="2308" max="2308" width="13.140625" style="96" customWidth="1"/>
    <col min="2309" max="2309" width="12.85546875" style="96" customWidth="1"/>
    <col min="2310" max="2312" width="11.5703125" style="96" customWidth="1"/>
    <col min="2313" max="2560" width="9.140625" style="96"/>
    <col min="2561" max="2561" width="50" style="96" customWidth="1"/>
    <col min="2562" max="2562" width="9.140625" style="96"/>
    <col min="2563" max="2563" width="21.85546875" style="96" customWidth="1"/>
    <col min="2564" max="2564" width="13.140625" style="96" customWidth="1"/>
    <col min="2565" max="2565" width="12.85546875" style="96" customWidth="1"/>
    <col min="2566" max="2568" width="11.5703125" style="96" customWidth="1"/>
    <col min="2569" max="2816" width="9.140625" style="96"/>
    <col min="2817" max="2817" width="50" style="96" customWidth="1"/>
    <col min="2818" max="2818" width="9.140625" style="96"/>
    <col min="2819" max="2819" width="21.85546875" style="96" customWidth="1"/>
    <col min="2820" max="2820" width="13.140625" style="96" customWidth="1"/>
    <col min="2821" max="2821" width="12.85546875" style="96" customWidth="1"/>
    <col min="2822" max="2824" width="11.5703125" style="96" customWidth="1"/>
    <col min="2825" max="3072" width="9.140625" style="96"/>
    <col min="3073" max="3073" width="50" style="96" customWidth="1"/>
    <col min="3074" max="3074" width="9.140625" style="96"/>
    <col min="3075" max="3075" width="21.85546875" style="96" customWidth="1"/>
    <col min="3076" max="3076" width="13.140625" style="96" customWidth="1"/>
    <col min="3077" max="3077" width="12.85546875" style="96" customWidth="1"/>
    <col min="3078" max="3080" width="11.5703125" style="96" customWidth="1"/>
    <col min="3081" max="3328" width="9.140625" style="96"/>
    <col min="3329" max="3329" width="50" style="96" customWidth="1"/>
    <col min="3330" max="3330" width="9.140625" style="96"/>
    <col min="3331" max="3331" width="21.85546875" style="96" customWidth="1"/>
    <col min="3332" max="3332" width="13.140625" style="96" customWidth="1"/>
    <col min="3333" max="3333" width="12.85546875" style="96" customWidth="1"/>
    <col min="3334" max="3336" width="11.5703125" style="96" customWidth="1"/>
    <col min="3337" max="3584" width="9.140625" style="96"/>
    <col min="3585" max="3585" width="50" style="96" customWidth="1"/>
    <col min="3586" max="3586" width="9.140625" style="96"/>
    <col min="3587" max="3587" width="21.85546875" style="96" customWidth="1"/>
    <col min="3588" max="3588" width="13.140625" style="96" customWidth="1"/>
    <col min="3589" max="3589" width="12.85546875" style="96" customWidth="1"/>
    <col min="3590" max="3592" width="11.5703125" style="96" customWidth="1"/>
    <col min="3593" max="3840" width="9.140625" style="96"/>
    <col min="3841" max="3841" width="50" style="96" customWidth="1"/>
    <col min="3842" max="3842" width="9.140625" style="96"/>
    <col min="3843" max="3843" width="21.85546875" style="96" customWidth="1"/>
    <col min="3844" max="3844" width="13.140625" style="96" customWidth="1"/>
    <col min="3845" max="3845" width="12.85546875" style="96" customWidth="1"/>
    <col min="3846" max="3848" width="11.5703125" style="96" customWidth="1"/>
    <col min="3849" max="4096" width="9.140625" style="96"/>
    <col min="4097" max="4097" width="50" style="96" customWidth="1"/>
    <col min="4098" max="4098" width="9.140625" style="96"/>
    <col min="4099" max="4099" width="21.85546875" style="96" customWidth="1"/>
    <col min="4100" max="4100" width="13.140625" style="96" customWidth="1"/>
    <col min="4101" max="4101" width="12.85546875" style="96" customWidth="1"/>
    <col min="4102" max="4104" width="11.5703125" style="96" customWidth="1"/>
    <col min="4105" max="4352" width="9.140625" style="96"/>
    <col min="4353" max="4353" width="50" style="96" customWidth="1"/>
    <col min="4354" max="4354" width="9.140625" style="96"/>
    <col min="4355" max="4355" width="21.85546875" style="96" customWidth="1"/>
    <col min="4356" max="4356" width="13.140625" style="96" customWidth="1"/>
    <col min="4357" max="4357" width="12.85546875" style="96" customWidth="1"/>
    <col min="4358" max="4360" width="11.5703125" style="96" customWidth="1"/>
    <col min="4361" max="4608" width="9.140625" style="96"/>
    <col min="4609" max="4609" width="50" style="96" customWidth="1"/>
    <col min="4610" max="4610" width="9.140625" style="96"/>
    <col min="4611" max="4611" width="21.85546875" style="96" customWidth="1"/>
    <col min="4612" max="4612" width="13.140625" style="96" customWidth="1"/>
    <col min="4613" max="4613" width="12.85546875" style="96" customWidth="1"/>
    <col min="4614" max="4616" width="11.5703125" style="96" customWidth="1"/>
    <col min="4617" max="4864" width="9.140625" style="96"/>
    <col min="4865" max="4865" width="50" style="96" customWidth="1"/>
    <col min="4866" max="4866" width="9.140625" style="96"/>
    <col min="4867" max="4867" width="21.85546875" style="96" customWidth="1"/>
    <col min="4868" max="4868" width="13.140625" style="96" customWidth="1"/>
    <col min="4869" max="4869" width="12.85546875" style="96" customWidth="1"/>
    <col min="4870" max="4872" width="11.5703125" style="96" customWidth="1"/>
    <col min="4873" max="5120" width="9.140625" style="96"/>
    <col min="5121" max="5121" width="50" style="96" customWidth="1"/>
    <col min="5122" max="5122" width="9.140625" style="96"/>
    <col min="5123" max="5123" width="21.85546875" style="96" customWidth="1"/>
    <col min="5124" max="5124" width="13.140625" style="96" customWidth="1"/>
    <col min="5125" max="5125" width="12.85546875" style="96" customWidth="1"/>
    <col min="5126" max="5128" width="11.5703125" style="96" customWidth="1"/>
    <col min="5129" max="5376" width="9.140625" style="96"/>
    <col min="5377" max="5377" width="50" style="96" customWidth="1"/>
    <col min="5378" max="5378" width="9.140625" style="96"/>
    <col min="5379" max="5379" width="21.85546875" style="96" customWidth="1"/>
    <col min="5380" max="5380" width="13.140625" style="96" customWidth="1"/>
    <col min="5381" max="5381" width="12.85546875" style="96" customWidth="1"/>
    <col min="5382" max="5384" width="11.5703125" style="96" customWidth="1"/>
    <col min="5385" max="5632" width="9.140625" style="96"/>
    <col min="5633" max="5633" width="50" style="96" customWidth="1"/>
    <col min="5634" max="5634" width="9.140625" style="96"/>
    <col min="5635" max="5635" width="21.85546875" style="96" customWidth="1"/>
    <col min="5636" max="5636" width="13.140625" style="96" customWidth="1"/>
    <col min="5637" max="5637" width="12.85546875" style="96" customWidth="1"/>
    <col min="5638" max="5640" width="11.5703125" style="96" customWidth="1"/>
    <col min="5641" max="5888" width="9.140625" style="96"/>
    <col min="5889" max="5889" width="50" style="96" customWidth="1"/>
    <col min="5890" max="5890" width="9.140625" style="96"/>
    <col min="5891" max="5891" width="21.85546875" style="96" customWidth="1"/>
    <col min="5892" max="5892" width="13.140625" style="96" customWidth="1"/>
    <col min="5893" max="5893" width="12.85546875" style="96" customWidth="1"/>
    <col min="5894" max="5896" width="11.5703125" style="96" customWidth="1"/>
    <col min="5897" max="6144" width="9.140625" style="96"/>
    <col min="6145" max="6145" width="50" style="96" customWidth="1"/>
    <col min="6146" max="6146" width="9.140625" style="96"/>
    <col min="6147" max="6147" width="21.85546875" style="96" customWidth="1"/>
    <col min="6148" max="6148" width="13.140625" style="96" customWidth="1"/>
    <col min="6149" max="6149" width="12.85546875" style="96" customWidth="1"/>
    <col min="6150" max="6152" width="11.5703125" style="96" customWidth="1"/>
    <col min="6153" max="6400" width="9.140625" style="96"/>
    <col min="6401" max="6401" width="50" style="96" customWidth="1"/>
    <col min="6402" max="6402" width="9.140625" style="96"/>
    <col min="6403" max="6403" width="21.85546875" style="96" customWidth="1"/>
    <col min="6404" max="6404" width="13.140625" style="96" customWidth="1"/>
    <col min="6405" max="6405" width="12.85546875" style="96" customWidth="1"/>
    <col min="6406" max="6408" width="11.5703125" style="96" customWidth="1"/>
    <col min="6409" max="6656" width="9.140625" style="96"/>
    <col min="6657" max="6657" width="50" style="96" customWidth="1"/>
    <col min="6658" max="6658" width="9.140625" style="96"/>
    <col min="6659" max="6659" width="21.85546875" style="96" customWidth="1"/>
    <col min="6660" max="6660" width="13.140625" style="96" customWidth="1"/>
    <col min="6661" max="6661" width="12.85546875" style="96" customWidth="1"/>
    <col min="6662" max="6664" width="11.5703125" style="96" customWidth="1"/>
    <col min="6665" max="6912" width="9.140625" style="96"/>
    <col min="6913" max="6913" width="50" style="96" customWidth="1"/>
    <col min="6914" max="6914" width="9.140625" style="96"/>
    <col min="6915" max="6915" width="21.85546875" style="96" customWidth="1"/>
    <col min="6916" max="6916" width="13.140625" style="96" customWidth="1"/>
    <col min="6917" max="6917" width="12.85546875" style="96" customWidth="1"/>
    <col min="6918" max="6920" width="11.5703125" style="96" customWidth="1"/>
    <col min="6921" max="7168" width="9.140625" style="96"/>
    <col min="7169" max="7169" width="50" style="96" customWidth="1"/>
    <col min="7170" max="7170" width="9.140625" style="96"/>
    <col min="7171" max="7171" width="21.85546875" style="96" customWidth="1"/>
    <col min="7172" max="7172" width="13.140625" style="96" customWidth="1"/>
    <col min="7173" max="7173" width="12.85546875" style="96" customWidth="1"/>
    <col min="7174" max="7176" width="11.5703125" style="96" customWidth="1"/>
    <col min="7177" max="7424" width="9.140625" style="96"/>
    <col min="7425" max="7425" width="50" style="96" customWidth="1"/>
    <col min="7426" max="7426" width="9.140625" style="96"/>
    <col min="7427" max="7427" width="21.85546875" style="96" customWidth="1"/>
    <col min="7428" max="7428" width="13.140625" style="96" customWidth="1"/>
    <col min="7429" max="7429" width="12.85546875" style="96" customWidth="1"/>
    <col min="7430" max="7432" width="11.5703125" style="96" customWidth="1"/>
    <col min="7433" max="7680" width="9.140625" style="96"/>
    <col min="7681" max="7681" width="50" style="96" customWidth="1"/>
    <col min="7682" max="7682" width="9.140625" style="96"/>
    <col min="7683" max="7683" width="21.85546875" style="96" customWidth="1"/>
    <col min="7684" max="7684" width="13.140625" style="96" customWidth="1"/>
    <col min="7685" max="7685" width="12.85546875" style="96" customWidth="1"/>
    <col min="7686" max="7688" width="11.5703125" style="96" customWidth="1"/>
    <col min="7689" max="7936" width="9.140625" style="96"/>
    <col min="7937" max="7937" width="50" style="96" customWidth="1"/>
    <col min="7938" max="7938" width="9.140625" style="96"/>
    <col min="7939" max="7939" width="21.85546875" style="96" customWidth="1"/>
    <col min="7940" max="7940" width="13.140625" style="96" customWidth="1"/>
    <col min="7941" max="7941" width="12.85546875" style="96" customWidth="1"/>
    <col min="7942" max="7944" width="11.5703125" style="96" customWidth="1"/>
    <col min="7945" max="8192" width="9.140625" style="96"/>
    <col min="8193" max="8193" width="50" style="96" customWidth="1"/>
    <col min="8194" max="8194" width="9.140625" style="96"/>
    <col min="8195" max="8195" width="21.85546875" style="96" customWidth="1"/>
    <col min="8196" max="8196" width="13.140625" style="96" customWidth="1"/>
    <col min="8197" max="8197" width="12.85546875" style="96" customWidth="1"/>
    <col min="8198" max="8200" width="11.5703125" style="96" customWidth="1"/>
    <col min="8201" max="8448" width="9.140625" style="96"/>
    <col min="8449" max="8449" width="50" style="96" customWidth="1"/>
    <col min="8450" max="8450" width="9.140625" style="96"/>
    <col min="8451" max="8451" width="21.85546875" style="96" customWidth="1"/>
    <col min="8452" max="8452" width="13.140625" style="96" customWidth="1"/>
    <col min="8453" max="8453" width="12.85546875" style="96" customWidth="1"/>
    <col min="8454" max="8456" width="11.5703125" style="96" customWidth="1"/>
    <col min="8457" max="8704" width="9.140625" style="96"/>
    <col min="8705" max="8705" width="50" style="96" customWidth="1"/>
    <col min="8706" max="8706" width="9.140625" style="96"/>
    <col min="8707" max="8707" width="21.85546875" style="96" customWidth="1"/>
    <col min="8708" max="8708" width="13.140625" style="96" customWidth="1"/>
    <col min="8709" max="8709" width="12.85546875" style="96" customWidth="1"/>
    <col min="8710" max="8712" width="11.5703125" style="96" customWidth="1"/>
    <col min="8713" max="8960" width="9.140625" style="96"/>
    <col min="8961" max="8961" width="50" style="96" customWidth="1"/>
    <col min="8962" max="8962" width="9.140625" style="96"/>
    <col min="8963" max="8963" width="21.85546875" style="96" customWidth="1"/>
    <col min="8964" max="8964" width="13.140625" style="96" customWidth="1"/>
    <col min="8965" max="8965" width="12.85546875" style="96" customWidth="1"/>
    <col min="8966" max="8968" width="11.5703125" style="96" customWidth="1"/>
    <col min="8969" max="9216" width="9.140625" style="96"/>
    <col min="9217" max="9217" width="50" style="96" customWidth="1"/>
    <col min="9218" max="9218" width="9.140625" style="96"/>
    <col min="9219" max="9219" width="21.85546875" style="96" customWidth="1"/>
    <col min="9220" max="9220" width="13.140625" style="96" customWidth="1"/>
    <col min="9221" max="9221" width="12.85546875" style="96" customWidth="1"/>
    <col min="9222" max="9224" width="11.5703125" style="96" customWidth="1"/>
    <col min="9225" max="9472" width="9.140625" style="96"/>
    <col min="9473" max="9473" width="50" style="96" customWidth="1"/>
    <col min="9474" max="9474" width="9.140625" style="96"/>
    <col min="9475" max="9475" width="21.85546875" style="96" customWidth="1"/>
    <col min="9476" max="9476" width="13.140625" style="96" customWidth="1"/>
    <col min="9477" max="9477" width="12.85546875" style="96" customWidth="1"/>
    <col min="9478" max="9480" width="11.5703125" style="96" customWidth="1"/>
    <col min="9481" max="9728" width="9.140625" style="96"/>
    <col min="9729" max="9729" width="50" style="96" customWidth="1"/>
    <col min="9730" max="9730" width="9.140625" style="96"/>
    <col min="9731" max="9731" width="21.85546875" style="96" customWidth="1"/>
    <col min="9732" max="9732" width="13.140625" style="96" customWidth="1"/>
    <col min="9733" max="9733" width="12.85546875" style="96" customWidth="1"/>
    <col min="9734" max="9736" width="11.5703125" style="96" customWidth="1"/>
    <col min="9737" max="9984" width="9.140625" style="96"/>
    <col min="9985" max="9985" width="50" style="96" customWidth="1"/>
    <col min="9986" max="9986" width="9.140625" style="96"/>
    <col min="9987" max="9987" width="21.85546875" style="96" customWidth="1"/>
    <col min="9988" max="9988" width="13.140625" style="96" customWidth="1"/>
    <col min="9989" max="9989" width="12.85546875" style="96" customWidth="1"/>
    <col min="9990" max="9992" width="11.5703125" style="96" customWidth="1"/>
    <col min="9993" max="10240" width="9.140625" style="96"/>
    <col min="10241" max="10241" width="50" style="96" customWidth="1"/>
    <col min="10242" max="10242" width="9.140625" style="96"/>
    <col min="10243" max="10243" width="21.85546875" style="96" customWidth="1"/>
    <col min="10244" max="10244" width="13.140625" style="96" customWidth="1"/>
    <col min="10245" max="10245" width="12.85546875" style="96" customWidth="1"/>
    <col min="10246" max="10248" width="11.5703125" style="96" customWidth="1"/>
    <col min="10249" max="10496" width="9.140625" style="96"/>
    <col min="10497" max="10497" width="50" style="96" customWidth="1"/>
    <col min="10498" max="10498" width="9.140625" style="96"/>
    <col min="10499" max="10499" width="21.85546875" style="96" customWidth="1"/>
    <col min="10500" max="10500" width="13.140625" style="96" customWidth="1"/>
    <col min="10501" max="10501" width="12.85546875" style="96" customWidth="1"/>
    <col min="10502" max="10504" width="11.5703125" style="96" customWidth="1"/>
    <col min="10505" max="10752" width="9.140625" style="96"/>
    <col min="10753" max="10753" width="50" style="96" customWidth="1"/>
    <col min="10754" max="10754" width="9.140625" style="96"/>
    <col min="10755" max="10755" width="21.85546875" style="96" customWidth="1"/>
    <col min="10756" max="10756" width="13.140625" style="96" customWidth="1"/>
    <col min="10757" max="10757" width="12.85546875" style="96" customWidth="1"/>
    <col min="10758" max="10760" width="11.5703125" style="96" customWidth="1"/>
    <col min="10761" max="11008" width="9.140625" style="96"/>
    <col min="11009" max="11009" width="50" style="96" customWidth="1"/>
    <col min="11010" max="11010" width="9.140625" style="96"/>
    <col min="11011" max="11011" width="21.85546875" style="96" customWidth="1"/>
    <col min="11012" max="11012" width="13.140625" style="96" customWidth="1"/>
    <col min="11013" max="11013" width="12.85546875" style="96" customWidth="1"/>
    <col min="11014" max="11016" width="11.5703125" style="96" customWidth="1"/>
    <col min="11017" max="11264" width="9.140625" style="96"/>
    <col min="11265" max="11265" width="50" style="96" customWidth="1"/>
    <col min="11266" max="11266" width="9.140625" style="96"/>
    <col min="11267" max="11267" width="21.85546875" style="96" customWidth="1"/>
    <col min="11268" max="11268" width="13.140625" style="96" customWidth="1"/>
    <col min="11269" max="11269" width="12.85546875" style="96" customWidth="1"/>
    <col min="11270" max="11272" width="11.5703125" style="96" customWidth="1"/>
    <col min="11273" max="11520" width="9.140625" style="96"/>
    <col min="11521" max="11521" width="50" style="96" customWidth="1"/>
    <col min="11522" max="11522" width="9.140625" style="96"/>
    <col min="11523" max="11523" width="21.85546875" style="96" customWidth="1"/>
    <col min="11524" max="11524" width="13.140625" style="96" customWidth="1"/>
    <col min="11525" max="11525" width="12.85546875" style="96" customWidth="1"/>
    <col min="11526" max="11528" width="11.5703125" style="96" customWidth="1"/>
    <col min="11529" max="11776" width="9.140625" style="96"/>
    <col min="11777" max="11777" width="50" style="96" customWidth="1"/>
    <col min="11778" max="11778" width="9.140625" style="96"/>
    <col min="11779" max="11779" width="21.85546875" style="96" customWidth="1"/>
    <col min="11780" max="11780" width="13.140625" style="96" customWidth="1"/>
    <col min="11781" max="11781" width="12.85546875" style="96" customWidth="1"/>
    <col min="11782" max="11784" width="11.5703125" style="96" customWidth="1"/>
    <col min="11785" max="12032" width="9.140625" style="96"/>
    <col min="12033" max="12033" width="50" style="96" customWidth="1"/>
    <col min="12034" max="12034" width="9.140625" style="96"/>
    <col min="12035" max="12035" width="21.85546875" style="96" customWidth="1"/>
    <col min="12036" max="12036" width="13.140625" style="96" customWidth="1"/>
    <col min="12037" max="12037" width="12.85546875" style="96" customWidth="1"/>
    <col min="12038" max="12040" width="11.5703125" style="96" customWidth="1"/>
    <col min="12041" max="12288" width="9.140625" style="96"/>
    <col min="12289" max="12289" width="50" style="96" customWidth="1"/>
    <col min="12290" max="12290" width="9.140625" style="96"/>
    <col min="12291" max="12291" width="21.85546875" style="96" customWidth="1"/>
    <col min="12292" max="12292" width="13.140625" style="96" customWidth="1"/>
    <col min="12293" max="12293" width="12.85546875" style="96" customWidth="1"/>
    <col min="12294" max="12296" width="11.5703125" style="96" customWidth="1"/>
    <col min="12297" max="12544" width="9.140625" style="96"/>
    <col min="12545" max="12545" width="50" style="96" customWidth="1"/>
    <col min="12546" max="12546" width="9.140625" style="96"/>
    <col min="12547" max="12547" width="21.85546875" style="96" customWidth="1"/>
    <col min="12548" max="12548" width="13.140625" style="96" customWidth="1"/>
    <col min="12549" max="12549" width="12.85546875" style="96" customWidth="1"/>
    <col min="12550" max="12552" width="11.5703125" style="96" customWidth="1"/>
    <col min="12553" max="12800" width="9.140625" style="96"/>
    <col min="12801" max="12801" width="50" style="96" customWidth="1"/>
    <col min="12802" max="12802" width="9.140625" style="96"/>
    <col min="12803" max="12803" width="21.85546875" style="96" customWidth="1"/>
    <col min="12804" max="12804" width="13.140625" style="96" customWidth="1"/>
    <col min="12805" max="12805" width="12.85546875" style="96" customWidth="1"/>
    <col min="12806" max="12808" width="11.5703125" style="96" customWidth="1"/>
    <col min="12809" max="13056" width="9.140625" style="96"/>
    <col min="13057" max="13057" width="50" style="96" customWidth="1"/>
    <col min="13058" max="13058" width="9.140625" style="96"/>
    <col min="13059" max="13059" width="21.85546875" style="96" customWidth="1"/>
    <col min="13060" max="13060" width="13.140625" style="96" customWidth="1"/>
    <col min="13061" max="13061" width="12.85546875" style="96" customWidth="1"/>
    <col min="13062" max="13064" width="11.5703125" style="96" customWidth="1"/>
    <col min="13065" max="13312" width="9.140625" style="96"/>
    <col min="13313" max="13313" width="50" style="96" customWidth="1"/>
    <col min="13314" max="13314" width="9.140625" style="96"/>
    <col min="13315" max="13315" width="21.85546875" style="96" customWidth="1"/>
    <col min="13316" max="13316" width="13.140625" style="96" customWidth="1"/>
    <col min="13317" max="13317" width="12.85546875" style="96" customWidth="1"/>
    <col min="13318" max="13320" width="11.5703125" style="96" customWidth="1"/>
    <col min="13321" max="13568" width="9.140625" style="96"/>
    <col min="13569" max="13569" width="50" style="96" customWidth="1"/>
    <col min="13570" max="13570" width="9.140625" style="96"/>
    <col min="13571" max="13571" width="21.85546875" style="96" customWidth="1"/>
    <col min="13572" max="13572" width="13.140625" style="96" customWidth="1"/>
    <col min="13573" max="13573" width="12.85546875" style="96" customWidth="1"/>
    <col min="13574" max="13576" width="11.5703125" style="96" customWidth="1"/>
    <col min="13577" max="13824" width="9.140625" style="96"/>
    <col min="13825" max="13825" width="50" style="96" customWidth="1"/>
    <col min="13826" max="13826" width="9.140625" style="96"/>
    <col min="13827" max="13827" width="21.85546875" style="96" customWidth="1"/>
    <col min="13828" max="13828" width="13.140625" style="96" customWidth="1"/>
    <col min="13829" max="13829" width="12.85546875" style="96" customWidth="1"/>
    <col min="13830" max="13832" width="11.5703125" style="96" customWidth="1"/>
    <col min="13833" max="14080" width="9.140625" style="96"/>
    <col min="14081" max="14081" width="50" style="96" customWidth="1"/>
    <col min="14082" max="14082" width="9.140625" style="96"/>
    <col min="14083" max="14083" width="21.85546875" style="96" customWidth="1"/>
    <col min="14084" max="14084" width="13.140625" style="96" customWidth="1"/>
    <col min="14085" max="14085" width="12.85546875" style="96" customWidth="1"/>
    <col min="14086" max="14088" width="11.5703125" style="96" customWidth="1"/>
    <col min="14089" max="14336" width="9.140625" style="96"/>
    <col min="14337" max="14337" width="50" style="96" customWidth="1"/>
    <col min="14338" max="14338" width="9.140625" style="96"/>
    <col min="14339" max="14339" width="21.85546875" style="96" customWidth="1"/>
    <col min="14340" max="14340" width="13.140625" style="96" customWidth="1"/>
    <col min="14341" max="14341" width="12.85546875" style="96" customWidth="1"/>
    <col min="14342" max="14344" width="11.5703125" style="96" customWidth="1"/>
    <col min="14345" max="14592" width="9.140625" style="96"/>
    <col min="14593" max="14593" width="50" style="96" customWidth="1"/>
    <col min="14594" max="14594" width="9.140625" style="96"/>
    <col min="14595" max="14595" width="21.85546875" style="96" customWidth="1"/>
    <col min="14596" max="14596" width="13.140625" style="96" customWidth="1"/>
    <col min="14597" max="14597" width="12.85546875" style="96" customWidth="1"/>
    <col min="14598" max="14600" width="11.5703125" style="96" customWidth="1"/>
    <col min="14601" max="14848" width="9.140625" style="96"/>
    <col min="14849" max="14849" width="50" style="96" customWidth="1"/>
    <col min="14850" max="14850" width="9.140625" style="96"/>
    <col min="14851" max="14851" width="21.85546875" style="96" customWidth="1"/>
    <col min="14852" max="14852" width="13.140625" style="96" customWidth="1"/>
    <col min="14853" max="14853" width="12.85546875" style="96" customWidth="1"/>
    <col min="14854" max="14856" width="11.5703125" style="96" customWidth="1"/>
    <col min="14857" max="15104" width="9.140625" style="96"/>
    <col min="15105" max="15105" width="50" style="96" customWidth="1"/>
    <col min="15106" max="15106" width="9.140625" style="96"/>
    <col min="15107" max="15107" width="21.85546875" style="96" customWidth="1"/>
    <col min="15108" max="15108" width="13.140625" style="96" customWidth="1"/>
    <col min="15109" max="15109" width="12.85546875" style="96" customWidth="1"/>
    <col min="15110" max="15112" width="11.5703125" style="96" customWidth="1"/>
    <col min="15113" max="15360" width="9.140625" style="96"/>
    <col min="15361" max="15361" width="50" style="96" customWidth="1"/>
    <col min="15362" max="15362" width="9.140625" style="96"/>
    <col min="15363" max="15363" width="21.85546875" style="96" customWidth="1"/>
    <col min="15364" max="15364" width="13.140625" style="96" customWidth="1"/>
    <col min="15365" max="15365" width="12.85546875" style="96" customWidth="1"/>
    <col min="15366" max="15368" width="11.5703125" style="96" customWidth="1"/>
    <col min="15369" max="15616" width="9.140625" style="96"/>
    <col min="15617" max="15617" width="50" style="96" customWidth="1"/>
    <col min="15618" max="15618" width="9.140625" style="96"/>
    <col min="15619" max="15619" width="21.85546875" style="96" customWidth="1"/>
    <col min="15620" max="15620" width="13.140625" style="96" customWidth="1"/>
    <col min="15621" max="15621" width="12.85546875" style="96" customWidth="1"/>
    <col min="15622" max="15624" width="11.5703125" style="96" customWidth="1"/>
    <col min="15625" max="15872" width="9.140625" style="96"/>
    <col min="15873" max="15873" width="50" style="96" customWidth="1"/>
    <col min="15874" max="15874" width="9.140625" style="96"/>
    <col min="15875" max="15875" width="21.85546875" style="96" customWidth="1"/>
    <col min="15876" max="15876" width="13.140625" style="96" customWidth="1"/>
    <col min="15877" max="15877" width="12.85546875" style="96" customWidth="1"/>
    <col min="15878" max="15880" width="11.5703125" style="96" customWidth="1"/>
    <col min="15881" max="16128" width="9.140625" style="96"/>
    <col min="16129" max="16129" width="50" style="96" customWidth="1"/>
    <col min="16130" max="16130" width="9.140625" style="96"/>
    <col min="16131" max="16131" width="21.85546875" style="96" customWidth="1"/>
    <col min="16132" max="16132" width="13.140625" style="96" customWidth="1"/>
    <col min="16133" max="16133" width="12.85546875" style="96" customWidth="1"/>
    <col min="16134" max="16136" width="11.5703125" style="96" customWidth="1"/>
    <col min="16137" max="16384" width="9.140625" style="96"/>
  </cols>
  <sheetData>
    <row r="1" spans="1:11" s="153" customFormat="1" ht="14.25" x14ac:dyDescent="0.2">
      <c r="A1" s="485" t="s">
        <v>224</v>
      </c>
      <c r="B1" s="485"/>
      <c r="C1" s="485"/>
      <c r="D1" s="485"/>
      <c r="E1" s="485"/>
      <c r="F1" s="485"/>
      <c r="G1" s="485"/>
      <c r="H1" s="485"/>
      <c r="I1" s="150"/>
      <c r="J1" s="151"/>
      <c r="K1" s="152"/>
    </row>
    <row r="2" spans="1:11" ht="15" x14ac:dyDescent="0.2">
      <c r="A2" s="482" t="s">
        <v>225</v>
      </c>
      <c r="B2" s="482" t="s">
        <v>226</v>
      </c>
      <c r="C2" s="486" t="s">
        <v>227</v>
      </c>
      <c r="D2" s="486" t="s">
        <v>228</v>
      </c>
      <c r="E2" s="482" t="s">
        <v>36</v>
      </c>
      <c r="F2" s="482"/>
      <c r="G2" s="482"/>
      <c r="H2" s="482"/>
    </row>
    <row r="3" spans="1:11" ht="60" x14ac:dyDescent="0.2">
      <c r="A3" s="482"/>
      <c r="B3" s="482"/>
      <c r="C3" s="486"/>
      <c r="D3" s="486"/>
      <c r="E3" s="154" t="s">
        <v>229</v>
      </c>
      <c r="F3" s="154" t="s">
        <v>230</v>
      </c>
      <c r="G3" s="154" t="s">
        <v>231</v>
      </c>
      <c r="H3" s="154" t="s">
        <v>232</v>
      </c>
    </row>
    <row r="4" spans="1:11" ht="15" x14ac:dyDescent="0.2">
      <c r="A4" s="154">
        <v>1</v>
      </c>
      <c r="B4" s="154">
        <v>2</v>
      </c>
      <c r="C4" s="154">
        <v>3</v>
      </c>
      <c r="D4" s="154">
        <v>4</v>
      </c>
      <c r="E4" s="154">
        <v>5</v>
      </c>
      <c r="F4" s="154">
        <v>6</v>
      </c>
      <c r="G4" s="154">
        <v>7</v>
      </c>
      <c r="H4" s="154">
        <v>8</v>
      </c>
    </row>
    <row r="5" spans="1:11" ht="15" x14ac:dyDescent="0.2">
      <c r="A5" s="155" t="s">
        <v>233</v>
      </c>
      <c r="B5" s="154">
        <v>1</v>
      </c>
      <c r="C5" s="154" t="s">
        <v>234</v>
      </c>
      <c r="D5" s="154" t="s">
        <v>234</v>
      </c>
      <c r="E5" s="156">
        <f>'Раздел 3 (новый) '!F158</f>
        <v>18908.78</v>
      </c>
      <c r="F5" s="156">
        <v>0</v>
      </c>
      <c r="G5" s="156">
        <v>0</v>
      </c>
      <c r="H5" s="156">
        <v>0</v>
      </c>
    </row>
    <row r="6" spans="1:11" ht="15" x14ac:dyDescent="0.2">
      <c r="A6" s="155" t="s">
        <v>235</v>
      </c>
      <c r="B6" s="154">
        <v>2</v>
      </c>
      <c r="C6" s="154" t="s">
        <v>234</v>
      </c>
      <c r="D6" s="154" t="s">
        <v>234</v>
      </c>
      <c r="E6" s="156">
        <v>0</v>
      </c>
      <c r="F6" s="156">
        <v>0</v>
      </c>
      <c r="G6" s="156">
        <v>0</v>
      </c>
      <c r="H6" s="156">
        <v>0</v>
      </c>
    </row>
    <row r="7" spans="1:11" ht="15" x14ac:dyDescent="0.2">
      <c r="A7" s="157" t="s">
        <v>236</v>
      </c>
      <c r="B7" s="158">
        <v>1000</v>
      </c>
      <c r="C7" s="157"/>
      <c r="D7" s="157"/>
      <c r="E7" s="159">
        <f>E8+E11+E16+E18+E20+E25+E28</f>
        <v>49176160</v>
      </c>
      <c r="F7" s="159">
        <f>F8+F11+F16+F18+F20+F25+F28</f>
        <v>47671000</v>
      </c>
      <c r="G7" s="159">
        <f>F7</f>
        <v>47671000</v>
      </c>
      <c r="H7" s="159">
        <f>H8+H11+H16+H18+H20+H25</f>
        <v>0</v>
      </c>
    </row>
    <row r="8" spans="1:11" ht="15" x14ac:dyDescent="0.2">
      <c r="A8" s="160" t="s">
        <v>237</v>
      </c>
      <c r="B8" s="482">
        <v>1100</v>
      </c>
      <c r="C8" s="482">
        <v>120</v>
      </c>
      <c r="D8" s="483"/>
      <c r="E8" s="484">
        <f>'Раздел 3 (новый) '!O96</f>
        <v>250000.00000000003</v>
      </c>
      <c r="F8" s="487">
        <v>250000</v>
      </c>
      <c r="G8" s="487">
        <f>F8</f>
        <v>250000</v>
      </c>
      <c r="H8" s="487">
        <v>0</v>
      </c>
    </row>
    <row r="9" spans="1:11" ht="15" x14ac:dyDescent="0.2">
      <c r="A9" s="160" t="s">
        <v>238</v>
      </c>
      <c r="B9" s="482"/>
      <c r="C9" s="482"/>
      <c r="D9" s="483"/>
      <c r="E9" s="484"/>
      <c r="F9" s="488"/>
      <c r="G9" s="488"/>
      <c r="H9" s="488"/>
      <c r="I9" s="96" t="s">
        <v>726</v>
      </c>
    </row>
    <row r="10" spans="1:11" ht="15" x14ac:dyDescent="0.2">
      <c r="A10" s="161" t="s">
        <v>237</v>
      </c>
      <c r="B10" s="154">
        <v>1110</v>
      </c>
      <c r="C10" s="162"/>
      <c r="D10" s="162"/>
      <c r="E10" s="156"/>
      <c r="F10" s="156"/>
      <c r="G10" s="156"/>
      <c r="H10" s="156"/>
    </row>
    <row r="11" spans="1:11" ht="30" x14ac:dyDescent="0.2">
      <c r="A11" s="160" t="s">
        <v>239</v>
      </c>
      <c r="B11" s="154">
        <v>1200</v>
      </c>
      <c r="C11" s="154">
        <v>130</v>
      </c>
      <c r="D11" s="162"/>
      <c r="E11" s="156">
        <f>E12+E14</f>
        <v>36960200</v>
      </c>
      <c r="F11" s="331">
        <f>F12+F14</f>
        <v>35472000</v>
      </c>
      <c r="G11" s="156">
        <f>F11</f>
        <v>35472000</v>
      </c>
      <c r="H11" s="156">
        <f t="shared" ref="H11" si="0">H12+H14</f>
        <v>0</v>
      </c>
      <c r="J11" s="163"/>
    </row>
    <row r="12" spans="1:11" ht="15" x14ac:dyDescent="0.2">
      <c r="A12" s="161" t="s">
        <v>237</v>
      </c>
      <c r="B12" s="482">
        <v>1210</v>
      </c>
      <c r="C12" s="482">
        <v>130</v>
      </c>
      <c r="D12" s="483"/>
      <c r="E12" s="484">
        <f>'Раздел 3 (новый) '!L96</f>
        <v>36960200</v>
      </c>
      <c r="F12" s="484">
        <v>35472000</v>
      </c>
      <c r="G12" s="484">
        <f>F12</f>
        <v>35472000</v>
      </c>
      <c r="H12" s="484">
        <v>0</v>
      </c>
    </row>
    <row r="13" spans="1:11" ht="60" x14ac:dyDescent="0.2">
      <c r="A13" s="161" t="s">
        <v>240</v>
      </c>
      <c r="B13" s="482"/>
      <c r="C13" s="482"/>
      <c r="D13" s="483"/>
      <c r="E13" s="484"/>
      <c r="F13" s="484"/>
      <c r="G13" s="484"/>
      <c r="H13" s="484"/>
      <c r="I13" s="96" t="s">
        <v>786</v>
      </c>
    </row>
    <row r="14" spans="1:11" ht="60" x14ac:dyDescent="0.2">
      <c r="A14" s="161" t="s">
        <v>241</v>
      </c>
      <c r="B14" s="154">
        <v>1220</v>
      </c>
      <c r="C14" s="154">
        <v>130</v>
      </c>
      <c r="D14" s="162"/>
      <c r="E14" s="156">
        <v>0</v>
      </c>
      <c r="F14" s="156">
        <v>0</v>
      </c>
      <c r="G14" s="156">
        <v>0</v>
      </c>
      <c r="H14" s="156">
        <v>0</v>
      </c>
    </row>
    <row r="15" spans="1:11" ht="15" x14ac:dyDescent="0.2">
      <c r="A15" s="162"/>
      <c r="B15" s="162"/>
      <c r="C15" s="162"/>
      <c r="D15" s="162"/>
      <c r="E15" s="156"/>
      <c r="F15" s="156"/>
      <c r="G15" s="156"/>
      <c r="H15" s="156"/>
    </row>
    <row r="16" spans="1:11" ht="30" x14ac:dyDescent="0.2">
      <c r="A16" s="160" t="s">
        <v>242</v>
      </c>
      <c r="B16" s="154">
        <v>1300</v>
      </c>
      <c r="C16" s="154">
        <v>140</v>
      </c>
      <c r="D16" s="162"/>
      <c r="E16" s="156">
        <v>0</v>
      </c>
      <c r="F16" s="156">
        <v>0</v>
      </c>
      <c r="G16" s="156">
        <v>0</v>
      </c>
      <c r="H16" s="156">
        <v>0</v>
      </c>
    </row>
    <row r="17" spans="1:10" ht="15" x14ac:dyDescent="0.2">
      <c r="A17" s="161" t="s">
        <v>237</v>
      </c>
      <c r="B17" s="154">
        <v>1310</v>
      </c>
      <c r="C17" s="154">
        <v>140</v>
      </c>
      <c r="D17" s="162"/>
      <c r="E17" s="156"/>
      <c r="F17" s="156"/>
      <c r="G17" s="156"/>
      <c r="H17" s="156"/>
    </row>
    <row r="18" spans="1:10" ht="15" x14ac:dyDescent="0.2">
      <c r="A18" s="160" t="s">
        <v>243</v>
      </c>
      <c r="B18" s="154">
        <v>1400</v>
      </c>
      <c r="C18" s="154">
        <v>150</v>
      </c>
      <c r="D18" s="162"/>
      <c r="E18" s="156">
        <v>0</v>
      </c>
      <c r="F18" s="156">
        <v>0</v>
      </c>
      <c r="G18" s="156">
        <v>0</v>
      </c>
      <c r="H18" s="156">
        <v>0</v>
      </c>
    </row>
    <row r="19" spans="1:10" ht="15" x14ac:dyDescent="0.2">
      <c r="A19" s="161" t="s">
        <v>237</v>
      </c>
      <c r="B19" s="162"/>
      <c r="C19" s="162"/>
      <c r="D19" s="162"/>
      <c r="E19" s="156"/>
      <c r="F19" s="156"/>
      <c r="G19" s="156"/>
      <c r="H19" s="156"/>
    </row>
    <row r="20" spans="1:10" ht="15" x14ac:dyDescent="0.2">
      <c r="A20" s="160" t="s">
        <v>244</v>
      </c>
      <c r="B20" s="154">
        <v>1500</v>
      </c>
      <c r="C20" s="154">
        <v>180</v>
      </c>
      <c r="D20" s="162"/>
      <c r="E20" s="156">
        <f>E21+E23</f>
        <v>11965960</v>
      </c>
      <c r="F20" s="156">
        <f t="shared" ref="F20:H20" si="1">F21+F23</f>
        <v>11949000</v>
      </c>
      <c r="G20" s="156">
        <f t="shared" si="1"/>
        <v>11949000</v>
      </c>
      <c r="H20" s="156">
        <f t="shared" si="1"/>
        <v>0</v>
      </c>
      <c r="I20" s="96" t="s">
        <v>725</v>
      </c>
    </row>
    <row r="21" spans="1:10" ht="15" x14ac:dyDescent="0.2">
      <c r="A21" s="161" t="s">
        <v>237</v>
      </c>
      <c r="B21" s="482">
        <v>1510</v>
      </c>
      <c r="C21" s="482">
        <v>180</v>
      </c>
      <c r="D21" s="483"/>
      <c r="E21" s="484">
        <f>'Раздел 3 (новый) '!N96-E23</f>
        <v>11965960</v>
      </c>
      <c r="F21" s="484">
        <v>11949000</v>
      </c>
      <c r="G21" s="484">
        <f>F21</f>
        <v>11949000</v>
      </c>
      <c r="H21" s="484"/>
    </row>
    <row r="22" spans="1:10" ht="15" x14ac:dyDescent="0.2">
      <c r="A22" s="161" t="s">
        <v>245</v>
      </c>
      <c r="B22" s="482"/>
      <c r="C22" s="482"/>
      <c r="D22" s="483"/>
      <c r="E22" s="484"/>
      <c r="F22" s="484"/>
      <c r="G22" s="484"/>
      <c r="H22" s="484"/>
    </row>
    <row r="23" spans="1:10" ht="30" x14ac:dyDescent="0.2">
      <c r="A23" s="161" t="s">
        <v>246</v>
      </c>
      <c r="B23" s="154">
        <v>1520</v>
      </c>
      <c r="C23" s="154">
        <v>180</v>
      </c>
      <c r="D23" s="162"/>
      <c r="E23" s="156">
        <f>'Раздел 3 (новый) '!N147</f>
        <v>0</v>
      </c>
      <c r="F23" s="156">
        <v>0</v>
      </c>
      <c r="G23" s="156">
        <v>0</v>
      </c>
      <c r="H23" s="156">
        <v>0</v>
      </c>
    </row>
    <row r="24" spans="1:10" ht="15" x14ac:dyDescent="0.2">
      <c r="A24" s="162"/>
      <c r="B24" s="162"/>
      <c r="C24" s="162"/>
      <c r="D24" s="162"/>
      <c r="E24" s="156"/>
      <c r="F24" s="156"/>
      <c r="G24" s="156"/>
      <c r="H24" s="156"/>
    </row>
    <row r="25" spans="1:10" ht="15" x14ac:dyDescent="0.2">
      <c r="A25" s="160" t="s">
        <v>247</v>
      </c>
      <c r="B25" s="154">
        <v>1900</v>
      </c>
      <c r="C25" s="162"/>
      <c r="D25" s="162"/>
      <c r="E25" s="156">
        <v>0</v>
      </c>
      <c r="F25" s="156">
        <v>0</v>
      </c>
      <c r="G25" s="156">
        <v>0</v>
      </c>
      <c r="H25" s="156">
        <v>0</v>
      </c>
    </row>
    <row r="26" spans="1:10" ht="15" x14ac:dyDescent="0.2">
      <c r="A26" s="161" t="s">
        <v>237</v>
      </c>
      <c r="B26" s="162"/>
      <c r="C26" s="162"/>
      <c r="D26" s="162"/>
      <c r="E26" s="156"/>
      <c r="F26" s="156"/>
      <c r="G26" s="156"/>
      <c r="H26" s="156"/>
    </row>
    <row r="27" spans="1:10" ht="15" x14ac:dyDescent="0.2">
      <c r="A27" s="162"/>
      <c r="B27" s="162"/>
      <c r="C27" s="162"/>
      <c r="D27" s="162"/>
      <c r="E27" s="156"/>
      <c r="F27" s="156"/>
      <c r="G27" s="156"/>
      <c r="H27" s="156"/>
    </row>
    <row r="28" spans="1:10" ht="15" x14ac:dyDescent="0.2">
      <c r="A28" s="164" t="s">
        <v>248</v>
      </c>
      <c r="B28" s="154">
        <v>1980</v>
      </c>
      <c r="C28" s="154" t="s">
        <v>234</v>
      </c>
      <c r="D28" s="162"/>
      <c r="E28" s="156">
        <f>E29</f>
        <v>0</v>
      </c>
      <c r="F28" s="156">
        <f t="shared" ref="F28:H28" si="2">F29</f>
        <v>0</v>
      </c>
      <c r="G28" s="156">
        <f t="shared" si="2"/>
        <v>0</v>
      </c>
      <c r="H28" s="165" t="str">
        <f t="shared" si="2"/>
        <v>x</v>
      </c>
    </row>
    <row r="29" spans="1:10" ht="15" x14ac:dyDescent="0.2">
      <c r="A29" s="161" t="s">
        <v>249</v>
      </c>
      <c r="B29" s="482">
        <v>1981</v>
      </c>
      <c r="C29" s="482">
        <v>510</v>
      </c>
      <c r="D29" s="483"/>
      <c r="E29" s="484">
        <v>0</v>
      </c>
      <c r="F29" s="484">
        <v>0</v>
      </c>
      <c r="G29" s="484">
        <v>0</v>
      </c>
      <c r="H29" s="481" t="s">
        <v>234</v>
      </c>
    </row>
    <row r="30" spans="1:10" ht="45" x14ac:dyDescent="0.2">
      <c r="A30" s="161" t="s">
        <v>250</v>
      </c>
      <c r="B30" s="482"/>
      <c r="C30" s="482"/>
      <c r="D30" s="483"/>
      <c r="E30" s="484"/>
      <c r="F30" s="484"/>
      <c r="G30" s="484"/>
      <c r="H30" s="481"/>
    </row>
    <row r="31" spans="1:10" ht="15" x14ac:dyDescent="0.2">
      <c r="A31" s="162"/>
      <c r="B31" s="162"/>
      <c r="C31" s="162"/>
      <c r="D31" s="162"/>
      <c r="E31" s="156"/>
      <c r="F31" s="156"/>
      <c r="G31" s="156"/>
      <c r="H31" s="156"/>
    </row>
    <row r="32" spans="1:10" ht="15" x14ac:dyDescent="0.2">
      <c r="A32" s="157" t="s">
        <v>251</v>
      </c>
      <c r="B32" s="158">
        <v>2000</v>
      </c>
      <c r="C32" s="158" t="s">
        <v>234</v>
      </c>
      <c r="D32" s="157"/>
      <c r="E32" s="159">
        <f>E33+E49+E58+E63+E68+E70</f>
        <v>49195068.778626561</v>
      </c>
      <c r="F32" s="159">
        <f t="shared" ref="F32:G32" si="3">F33+F49+F58+F63+F68+F70</f>
        <v>47671000</v>
      </c>
      <c r="G32" s="159">
        <f t="shared" si="3"/>
        <v>47671000</v>
      </c>
      <c r="H32" s="159">
        <v>0</v>
      </c>
      <c r="J32" s="163"/>
    </row>
    <row r="33" spans="1:9" ht="15" x14ac:dyDescent="0.2">
      <c r="A33" s="160" t="s">
        <v>237</v>
      </c>
      <c r="B33" s="482">
        <v>2100</v>
      </c>
      <c r="C33" s="482" t="s">
        <v>234</v>
      </c>
      <c r="D33" s="483"/>
      <c r="E33" s="484">
        <f>E35+E37+E39</f>
        <v>29479459.683626562</v>
      </c>
      <c r="F33" s="484">
        <f t="shared" ref="F33" si="4">F35+F37+F39</f>
        <v>28774700</v>
      </c>
      <c r="G33" s="484">
        <f>F33</f>
        <v>28774700</v>
      </c>
      <c r="H33" s="481" t="s">
        <v>234</v>
      </c>
    </row>
    <row r="34" spans="1:9" ht="15" x14ac:dyDescent="0.2">
      <c r="A34" s="160" t="s">
        <v>252</v>
      </c>
      <c r="B34" s="482"/>
      <c r="C34" s="482"/>
      <c r="D34" s="483"/>
      <c r="E34" s="484"/>
      <c r="F34" s="484"/>
      <c r="G34" s="484"/>
      <c r="H34" s="481"/>
    </row>
    <row r="35" spans="1:9" ht="15" x14ac:dyDescent="0.2">
      <c r="A35" s="161" t="s">
        <v>237</v>
      </c>
      <c r="B35" s="482">
        <v>2110</v>
      </c>
      <c r="C35" s="482">
        <v>111</v>
      </c>
      <c r="D35" s="483"/>
      <c r="E35" s="484">
        <f>'Раздел 3 (новый) '!F9+'Раздел 3 (новый) '!F10</f>
        <v>22350238.981280003</v>
      </c>
      <c r="F35" s="484">
        <v>21300000</v>
      </c>
      <c r="G35" s="484">
        <f>F35</f>
        <v>21300000</v>
      </c>
      <c r="H35" s="481" t="s">
        <v>234</v>
      </c>
    </row>
    <row r="36" spans="1:9" ht="15" x14ac:dyDescent="0.2">
      <c r="A36" s="161" t="s">
        <v>253</v>
      </c>
      <c r="B36" s="482"/>
      <c r="C36" s="482"/>
      <c r="D36" s="483"/>
      <c r="E36" s="484"/>
      <c r="F36" s="484"/>
      <c r="G36" s="484"/>
      <c r="H36" s="481"/>
      <c r="I36" s="96">
        <v>211</v>
      </c>
    </row>
    <row r="37" spans="1:9" ht="30" x14ac:dyDescent="0.2">
      <c r="A37" s="161" t="s">
        <v>254</v>
      </c>
      <c r="B37" s="154">
        <v>2120</v>
      </c>
      <c r="C37" s="154">
        <v>112</v>
      </c>
      <c r="D37" s="162"/>
      <c r="E37" s="156">
        <f>'Раздел 3 (новый) '!F11+'Раздел 3 (новый) '!F12+'Раздел 3 (новый) '!F13</f>
        <v>379400</v>
      </c>
      <c r="F37" s="156">
        <v>1084700</v>
      </c>
      <c r="G37" s="156">
        <f>F37</f>
        <v>1084700</v>
      </c>
      <c r="H37" s="165" t="s">
        <v>234</v>
      </c>
      <c r="I37" s="96">
        <v>212</v>
      </c>
    </row>
    <row r="38" spans="1:9" ht="45" x14ac:dyDescent="0.2">
      <c r="A38" s="161" t="s">
        <v>255</v>
      </c>
      <c r="B38" s="154">
        <v>2130</v>
      </c>
      <c r="C38" s="154">
        <v>113</v>
      </c>
      <c r="D38" s="162"/>
      <c r="E38" s="156"/>
      <c r="F38" s="156"/>
      <c r="G38" s="156"/>
      <c r="H38" s="165" t="s">
        <v>234</v>
      </c>
    </row>
    <row r="39" spans="1:9" ht="60" x14ac:dyDescent="0.2">
      <c r="A39" s="161" t="s">
        <v>256</v>
      </c>
      <c r="B39" s="154">
        <v>2140</v>
      </c>
      <c r="C39" s="154">
        <v>119</v>
      </c>
      <c r="D39" s="162"/>
      <c r="E39" s="156">
        <f>E40</f>
        <v>6749820.7023465596</v>
      </c>
      <c r="F39" s="156">
        <f>F40</f>
        <v>6390000</v>
      </c>
      <c r="G39" s="156">
        <f>F39</f>
        <v>6390000</v>
      </c>
      <c r="H39" s="165" t="s">
        <v>234</v>
      </c>
    </row>
    <row r="40" spans="1:9" ht="15" x14ac:dyDescent="0.2">
      <c r="A40" s="166" t="s">
        <v>237</v>
      </c>
      <c r="B40" s="482">
        <v>2141</v>
      </c>
      <c r="C40" s="482">
        <v>119</v>
      </c>
      <c r="D40" s="483"/>
      <c r="E40" s="484">
        <f>'Раздел 3 (новый) '!F14</f>
        <v>6749820.7023465596</v>
      </c>
      <c r="F40" s="484">
        <v>6390000</v>
      </c>
      <c r="G40" s="484">
        <f>F40</f>
        <v>6390000</v>
      </c>
      <c r="H40" s="481" t="s">
        <v>234</v>
      </c>
    </row>
    <row r="41" spans="1:9" ht="15" x14ac:dyDescent="0.2">
      <c r="A41" s="166" t="s">
        <v>257</v>
      </c>
      <c r="B41" s="482"/>
      <c r="C41" s="482"/>
      <c r="D41" s="483"/>
      <c r="E41" s="484"/>
      <c r="F41" s="484"/>
      <c r="G41" s="484"/>
      <c r="H41" s="481"/>
      <c r="I41" s="96">
        <v>213</v>
      </c>
    </row>
    <row r="42" spans="1:9" ht="15" x14ac:dyDescent="0.2">
      <c r="A42" s="166" t="s">
        <v>258</v>
      </c>
      <c r="B42" s="154">
        <v>2142</v>
      </c>
      <c r="C42" s="154">
        <v>119</v>
      </c>
      <c r="D42" s="162"/>
      <c r="E42" s="156"/>
      <c r="F42" s="156"/>
      <c r="G42" s="156"/>
      <c r="H42" s="165" t="s">
        <v>234</v>
      </c>
    </row>
    <row r="43" spans="1:9" ht="30" x14ac:dyDescent="0.2">
      <c r="A43" s="161" t="s">
        <v>259</v>
      </c>
      <c r="B43" s="154">
        <v>2150</v>
      </c>
      <c r="C43" s="154">
        <v>131</v>
      </c>
      <c r="D43" s="162"/>
      <c r="E43" s="156"/>
      <c r="F43" s="156"/>
      <c r="G43" s="156"/>
      <c r="H43" s="165" t="s">
        <v>234</v>
      </c>
    </row>
    <row r="44" spans="1:9" ht="30" x14ac:dyDescent="0.2">
      <c r="A44" s="161" t="s">
        <v>260</v>
      </c>
      <c r="B44" s="154">
        <v>2160</v>
      </c>
      <c r="C44" s="154">
        <v>134</v>
      </c>
      <c r="D44" s="162"/>
      <c r="E44" s="156"/>
      <c r="F44" s="156"/>
      <c r="G44" s="156"/>
      <c r="H44" s="165" t="s">
        <v>234</v>
      </c>
    </row>
    <row r="45" spans="1:9" ht="45" x14ac:dyDescent="0.2">
      <c r="A45" s="161" t="s">
        <v>261</v>
      </c>
      <c r="B45" s="154">
        <v>2170</v>
      </c>
      <c r="C45" s="154">
        <v>139</v>
      </c>
      <c r="D45" s="162"/>
      <c r="E45" s="156"/>
      <c r="F45" s="156"/>
      <c r="G45" s="156"/>
      <c r="H45" s="165" t="s">
        <v>234</v>
      </c>
    </row>
    <row r="46" spans="1:9" ht="15" x14ac:dyDescent="0.2">
      <c r="A46" s="166" t="s">
        <v>237</v>
      </c>
      <c r="B46" s="482">
        <v>2171</v>
      </c>
      <c r="C46" s="482">
        <v>139</v>
      </c>
      <c r="D46" s="483"/>
      <c r="E46" s="484"/>
      <c r="F46" s="484"/>
      <c r="G46" s="484"/>
      <c r="H46" s="481" t="s">
        <v>234</v>
      </c>
    </row>
    <row r="47" spans="1:9" ht="15" x14ac:dyDescent="0.2">
      <c r="A47" s="166" t="s">
        <v>262</v>
      </c>
      <c r="B47" s="482"/>
      <c r="C47" s="482"/>
      <c r="D47" s="483"/>
      <c r="E47" s="484"/>
      <c r="F47" s="484"/>
      <c r="G47" s="484"/>
      <c r="H47" s="481"/>
    </row>
    <row r="48" spans="1:9" ht="30" x14ac:dyDescent="0.2">
      <c r="A48" s="166" t="s">
        <v>263</v>
      </c>
      <c r="B48" s="154">
        <v>2172</v>
      </c>
      <c r="C48" s="154">
        <v>139</v>
      </c>
      <c r="D48" s="162"/>
      <c r="E48" s="156"/>
      <c r="F48" s="156"/>
      <c r="G48" s="156"/>
      <c r="H48" s="165" t="s">
        <v>234</v>
      </c>
    </row>
    <row r="49" spans="1:9" ht="15" x14ac:dyDescent="0.2">
      <c r="A49" s="160" t="s">
        <v>264</v>
      </c>
      <c r="B49" s="154">
        <v>2200</v>
      </c>
      <c r="C49" s="154">
        <v>300</v>
      </c>
      <c r="D49" s="162"/>
      <c r="E49" s="156">
        <f>E50+E55+E56+E57</f>
        <v>112100</v>
      </c>
      <c r="F49" s="156">
        <f t="shared" ref="F49" si="5">F50+F55+F56+F57</f>
        <v>205400</v>
      </c>
      <c r="G49" s="156">
        <f>F49</f>
        <v>205400</v>
      </c>
      <c r="H49" s="165" t="s">
        <v>234</v>
      </c>
    </row>
    <row r="50" spans="1:9" ht="15" x14ac:dyDescent="0.2">
      <c r="A50" s="161" t="s">
        <v>237</v>
      </c>
      <c r="B50" s="482">
        <v>2210</v>
      </c>
      <c r="C50" s="482">
        <v>320</v>
      </c>
      <c r="D50" s="483"/>
      <c r="E50" s="484">
        <f>E52</f>
        <v>112100</v>
      </c>
      <c r="F50" s="484">
        <f t="shared" ref="F50" si="6">F52</f>
        <v>205400</v>
      </c>
      <c r="G50" s="484">
        <f>F50</f>
        <v>205400</v>
      </c>
      <c r="H50" s="481" t="s">
        <v>234</v>
      </c>
    </row>
    <row r="51" spans="1:9" ht="30" x14ac:dyDescent="0.2">
      <c r="A51" s="161" t="s">
        <v>265</v>
      </c>
      <c r="B51" s="482"/>
      <c r="C51" s="482"/>
      <c r="D51" s="483"/>
      <c r="E51" s="484"/>
      <c r="F51" s="484"/>
      <c r="G51" s="484"/>
      <c r="H51" s="481"/>
    </row>
    <row r="52" spans="1:9" ht="15" x14ac:dyDescent="0.2">
      <c r="A52" s="166" t="s">
        <v>249</v>
      </c>
      <c r="B52" s="482">
        <v>2211</v>
      </c>
      <c r="C52" s="482">
        <v>321</v>
      </c>
      <c r="D52" s="483"/>
      <c r="E52" s="484">
        <f>'Раздел 3 (новый) '!F40</f>
        <v>112100</v>
      </c>
      <c r="F52" s="484">
        <v>205400</v>
      </c>
      <c r="G52" s="484">
        <f>F52</f>
        <v>205400</v>
      </c>
      <c r="H52" s="481" t="s">
        <v>234</v>
      </c>
    </row>
    <row r="53" spans="1:9" ht="45" x14ac:dyDescent="0.2">
      <c r="A53" s="166" t="s">
        <v>266</v>
      </c>
      <c r="B53" s="482"/>
      <c r="C53" s="482"/>
      <c r="D53" s="483"/>
      <c r="E53" s="484"/>
      <c r="F53" s="484"/>
      <c r="G53" s="484"/>
      <c r="H53" s="481"/>
      <c r="I53" s="96" t="s">
        <v>724</v>
      </c>
    </row>
    <row r="54" spans="1:9" ht="15" x14ac:dyDescent="0.2">
      <c r="A54" s="162"/>
      <c r="B54" s="162"/>
      <c r="C54" s="162"/>
      <c r="D54" s="162"/>
      <c r="E54" s="156"/>
      <c r="F54" s="156"/>
      <c r="G54" s="156"/>
      <c r="H54" s="156"/>
    </row>
    <row r="55" spans="1:9" ht="60" x14ac:dyDescent="0.2">
      <c r="A55" s="161" t="s">
        <v>267</v>
      </c>
      <c r="B55" s="154">
        <v>2220</v>
      </c>
      <c r="C55" s="154">
        <v>340</v>
      </c>
      <c r="D55" s="162"/>
      <c r="E55" s="156"/>
      <c r="F55" s="156"/>
      <c r="G55" s="156"/>
      <c r="H55" s="165" t="s">
        <v>234</v>
      </c>
    </row>
    <row r="56" spans="1:9" ht="75" x14ac:dyDescent="0.2">
      <c r="A56" s="161" t="s">
        <v>268</v>
      </c>
      <c r="B56" s="154">
        <v>2230</v>
      </c>
      <c r="C56" s="154">
        <v>350</v>
      </c>
      <c r="D56" s="162"/>
      <c r="E56" s="156"/>
      <c r="F56" s="156"/>
      <c r="G56" s="156"/>
      <c r="H56" s="165" t="s">
        <v>234</v>
      </c>
    </row>
    <row r="57" spans="1:9" ht="30" x14ac:dyDescent="0.2">
      <c r="A57" s="161" t="s">
        <v>269</v>
      </c>
      <c r="B57" s="154">
        <v>2240</v>
      </c>
      <c r="C57" s="154">
        <v>360</v>
      </c>
      <c r="D57" s="162"/>
      <c r="E57" s="156"/>
      <c r="F57" s="156"/>
      <c r="G57" s="156"/>
      <c r="H57" s="165" t="s">
        <v>234</v>
      </c>
    </row>
    <row r="58" spans="1:9" ht="15" x14ac:dyDescent="0.2">
      <c r="A58" s="160" t="s">
        <v>270</v>
      </c>
      <c r="B58" s="154">
        <v>2300</v>
      </c>
      <c r="C58" s="154">
        <v>850</v>
      </c>
      <c r="D58" s="162"/>
      <c r="E58" s="156">
        <f>E59+E61+E62</f>
        <v>5715915.1320000002</v>
      </c>
      <c r="F58" s="156">
        <f t="shared" ref="F58" si="7">F59+F61+F62</f>
        <v>5560000</v>
      </c>
      <c r="G58" s="156">
        <f>F58</f>
        <v>5560000</v>
      </c>
      <c r="H58" s="165" t="s">
        <v>234</v>
      </c>
    </row>
    <row r="59" spans="1:9" ht="15" x14ac:dyDescent="0.2">
      <c r="A59" s="161" t="s">
        <v>249</v>
      </c>
      <c r="B59" s="482">
        <v>2310</v>
      </c>
      <c r="C59" s="482">
        <v>851</v>
      </c>
      <c r="D59" s="483"/>
      <c r="E59" s="484">
        <f>'Раздел 3 (новый) '!F50+'Раздел 3 (новый) '!F51</f>
        <v>5579015.1320000002</v>
      </c>
      <c r="F59" s="484">
        <v>5560000</v>
      </c>
      <c r="G59" s="484">
        <f>F59</f>
        <v>5560000</v>
      </c>
      <c r="H59" s="481" t="s">
        <v>234</v>
      </c>
    </row>
    <row r="60" spans="1:9" ht="30" x14ac:dyDescent="0.2">
      <c r="A60" s="161" t="s">
        <v>271</v>
      </c>
      <c r="B60" s="482"/>
      <c r="C60" s="482"/>
      <c r="D60" s="483"/>
      <c r="E60" s="484"/>
      <c r="F60" s="484"/>
      <c r="G60" s="484"/>
      <c r="H60" s="481"/>
      <c r="I60" s="96">
        <v>290</v>
      </c>
    </row>
    <row r="61" spans="1:9" ht="45" x14ac:dyDescent="0.2">
      <c r="A61" s="161" t="s">
        <v>272</v>
      </c>
      <c r="B61" s="154">
        <v>2320</v>
      </c>
      <c r="C61" s="154">
        <v>852</v>
      </c>
      <c r="D61" s="162"/>
      <c r="E61" s="156">
        <f>'Раздел 3 (новый) '!F54</f>
        <v>0</v>
      </c>
      <c r="F61" s="156">
        <v>0</v>
      </c>
      <c r="G61" s="156">
        <v>0</v>
      </c>
      <c r="H61" s="165" t="s">
        <v>234</v>
      </c>
    </row>
    <row r="62" spans="1:9" ht="30" x14ac:dyDescent="0.2">
      <c r="A62" s="161" t="s">
        <v>273</v>
      </c>
      <c r="B62" s="154">
        <v>2330</v>
      </c>
      <c r="C62" s="154">
        <v>853</v>
      </c>
      <c r="D62" s="162"/>
      <c r="E62" s="156">
        <f>'Раздел 3 (новый) '!F55</f>
        <v>136900</v>
      </c>
      <c r="F62" s="156">
        <v>0</v>
      </c>
      <c r="G62" s="156">
        <v>0</v>
      </c>
      <c r="H62" s="165" t="s">
        <v>234</v>
      </c>
    </row>
    <row r="63" spans="1:9" ht="30" x14ac:dyDescent="0.2">
      <c r="A63" s="160" t="s">
        <v>274</v>
      </c>
      <c r="B63" s="154">
        <v>2400</v>
      </c>
      <c r="C63" s="154" t="s">
        <v>234</v>
      </c>
      <c r="D63" s="162"/>
      <c r="E63" s="156">
        <f>E64+E66+E67</f>
        <v>0</v>
      </c>
      <c r="F63" s="156">
        <f t="shared" ref="F63:G63" si="8">F64+F66+F67</f>
        <v>0</v>
      </c>
      <c r="G63" s="156">
        <f t="shared" si="8"/>
        <v>0</v>
      </c>
      <c r="H63" s="165" t="s">
        <v>234</v>
      </c>
    </row>
    <row r="64" spans="1:9" ht="15" x14ac:dyDescent="0.2">
      <c r="A64" s="161" t="s">
        <v>249</v>
      </c>
      <c r="B64" s="482">
        <v>2410</v>
      </c>
      <c r="C64" s="482">
        <v>810</v>
      </c>
      <c r="D64" s="483"/>
      <c r="E64" s="484"/>
      <c r="F64" s="484"/>
      <c r="G64" s="484"/>
      <c r="H64" s="481" t="s">
        <v>234</v>
      </c>
    </row>
    <row r="65" spans="1:9" ht="30" x14ac:dyDescent="0.2">
      <c r="A65" s="161" t="s">
        <v>275</v>
      </c>
      <c r="B65" s="482"/>
      <c r="C65" s="482"/>
      <c r="D65" s="483"/>
      <c r="E65" s="484"/>
      <c r="F65" s="484"/>
      <c r="G65" s="484"/>
      <c r="H65" s="481"/>
    </row>
    <row r="66" spans="1:9" ht="15" x14ac:dyDescent="0.2">
      <c r="A66" s="161" t="s">
        <v>276</v>
      </c>
      <c r="B66" s="154">
        <v>2420</v>
      </c>
      <c r="C66" s="154">
        <v>862</v>
      </c>
      <c r="D66" s="162"/>
      <c r="E66" s="156"/>
      <c r="F66" s="156"/>
      <c r="G66" s="156"/>
      <c r="H66" s="165" t="s">
        <v>234</v>
      </c>
    </row>
    <row r="67" spans="1:9" ht="45" x14ac:dyDescent="0.2">
      <c r="A67" s="161" t="s">
        <v>277</v>
      </c>
      <c r="B67" s="154">
        <v>2430</v>
      </c>
      <c r="C67" s="154">
        <v>863</v>
      </c>
      <c r="D67" s="162"/>
      <c r="E67" s="156"/>
      <c r="F67" s="156"/>
      <c r="G67" s="156"/>
      <c r="H67" s="165" t="s">
        <v>234</v>
      </c>
    </row>
    <row r="68" spans="1:9" ht="30" x14ac:dyDescent="0.2">
      <c r="A68" s="160" t="s">
        <v>278</v>
      </c>
      <c r="B68" s="154">
        <v>2500</v>
      </c>
      <c r="C68" s="154" t="s">
        <v>234</v>
      </c>
      <c r="D68" s="162"/>
      <c r="E68" s="156">
        <f>E69</f>
        <v>0</v>
      </c>
      <c r="F68" s="156">
        <f t="shared" ref="F68:G68" si="9">F69</f>
        <v>0</v>
      </c>
      <c r="G68" s="156">
        <f t="shared" si="9"/>
        <v>0</v>
      </c>
      <c r="H68" s="165" t="s">
        <v>234</v>
      </c>
    </row>
    <row r="69" spans="1:9" ht="60" x14ac:dyDescent="0.2">
      <c r="A69" s="161" t="s">
        <v>279</v>
      </c>
      <c r="B69" s="154">
        <v>2520</v>
      </c>
      <c r="C69" s="154">
        <v>831</v>
      </c>
      <c r="D69" s="162"/>
      <c r="E69" s="156"/>
      <c r="F69" s="156"/>
      <c r="G69" s="156"/>
      <c r="H69" s="165" t="s">
        <v>234</v>
      </c>
    </row>
    <row r="70" spans="1:9" ht="15" x14ac:dyDescent="0.2">
      <c r="A70" s="164" t="s">
        <v>280</v>
      </c>
      <c r="B70" s="154">
        <v>2600</v>
      </c>
      <c r="C70" s="154" t="s">
        <v>234</v>
      </c>
      <c r="D70" s="162"/>
      <c r="E70" s="156">
        <f>E71+E73+E74+E75+E77</f>
        <v>13887593.963000001</v>
      </c>
      <c r="F70" s="156">
        <f t="shared" ref="F70:H70" si="10">F71+F73+F74+F75+F77</f>
        <v>13130900</v>
      </c>
      <c r="G70" s="156">
        <f>F70</f>
        <v>13130900</v>
      </c>
      <c r="H70" s="156">
        <f t="shared" si="10"/>
        <v>0</v>
      </c>
    </row>
    <row r="71" spans="1:9" ht="15" x14ac:dyDescent="0.2">
      <c r="A71" s="161" t="s">
        <v>237</v>
      </c>
      <c r="B71" s="482">
        <v>2610</v>
      </c>
      <c r="C71" s="482">
        <v>241</v>
      </c>
      <c r="D71" s="483"/>
      <c r="E71" s="484"/>
      <c r="F71" s="484"/>
      <c r="G71" s="484"/>
      <c r="H71" s="484"/>
    </row>
    <row r="72" spans="1:9" ht="30" x14ac:dyDescent="0.2">
      <c r="A72" s="161" t="s">
        <v>281</v>
      </c>
      <c r="B72" s="482"/>
      <c r="C72" s="482"/>
      <c r="D72" s="483"/>
      <c r="E72" s="484"/>
      <c r="F72" s="484"/>
      <c r="G72" s="484"/>
      <c r="H72" s="484"/>
    </row>
    <row r="73" spans="1:9" ht="30" x14ac:dyDescent="0.2">
      <c r="A73" s="161" t="s">
        <v>282</v>
      </c>
      <c r="B73" s="154">
        <v>2620</v>
      </c>
      <c r="C73" s="154">
        <v>242</v>
      </c>
      <c r="D73" s="162"/>
      <c r="E73" s="156"/>
      <c r="F73" s="156"/>
      <c r="G73" s="156"/>
      <c r="H73" s="156"/>
    </row>
    <row r="74" spans="1:9" ht="45" x14ac:dyDescent="0.2">
      <c r="A74" s="161" t="s">
        <v>283</v>
      </c>
      <c r="B74" s="154">
        <v>2630</v>
      </c>
      <c r="C74" s="154">
        <v>243</v>
      </c>
      <c r="D74" s="162"/>
      <c r="E74" s="156">
        <f>'Раздел 3 (новый) '!N31</f>
        <v>0</v>
      </c>
      <c r="F74" s="156">
        <v>0</v>
      </c>
      <c r="G74" s="156">
        <v>0</v>
      </c>
      <c r="H74" s="156">
        <v>0</v>
      </c>
    </row>
    <row r="75" spans="1:9" ht="15" x14ac:dyDescent="0.2">
      <c r="A75" s="161" t="s">
        <v>284</v>
      </c>
      <c r="B75" s="154">
        <v>2640</v>
      </c>
      <c r="C75" s="154">
        <v>244</v>
      </c>
      <c r="D75" s="162"/>
      <c r="E75" s="156">
        <f>'Раздел 3 (новый) '!F15+'Раздел 3 (новый) '!F56-'Раздел 1'!E74</f>
        <v>13887593.963000001</v>
      </c>
      <c r="F75" s="156">
        <f>F11+F21-F33-F50-F59+F8</f>
        <v>13130900</v>
      </c>
      <c r="G75" s="156">
        <f>F75</f>
        <v>13130900</v>
      </c>
      <c r="H75" s="156"/>
      <c r="I75" s="163"/>
    </row>
    <row r="76" spans="1:9" ht="15" x14ac:dyDescent="0.2">
      <c r="A76" s="166" t="s">
        <v>249</v>
      </c>
      <c r="B76" s="162"/>
      <c r="C76" s="162"/>
      <c r="D76" s="162"/>
      <c r="E76" s="156"/>
      <c r="F76" s="156"/>
      <c r="G76" s="156"/>
      <c r="H76" s="156"/>
    </row>
    <row r="77" spans="1:9" ht="30" x14ac:dyDescent="0.2">
      <c r="A77" s="161" t="s">
        <v>285</v>
      </c>
      <c r="B77" s="154">
        <v>2650</v>
      </c>
      <c r="C77" s="154">
        <v>400</v>
      </c>
      <c r="D77" s="162"/>
      <c r="E77" s="156">
        <f>E78+E80</f>
        <v>0</v>
      </c>
      <c r="F77" s="156">
        <f t="shared" ref="F77:H77" si="11">F78+F80</f>
        <v>0</v>
      </c>
      <c r="G77" s="156">
        <f t="shared" si="11"/>
        <v>0</v>
      </c>
      <c r="H77" s="156">
        <f t="shared" si="11"/>
        <v>0</v>
      </c>
    </row>
    <row r="78" spans="1:9" ht="15" x14ac:dyDescent="0.2">
      <c r="A78" s="166" t="s">
        <v>237</v>
      </c>
      <c r="B78" s="482">
        <v>2651</v>
      </c>
      <c r="C78" s="482">
        <v>406</v>
      </c>
      <c r="D78" s="483"/>
      <c r="E78" s="484"/>
      <c r="F78" s="484"/>
      <c r="G78" s="484"/>
      <c r="H78" s="484"/>
    </row>
    <row r="79" spans="1:9" ht="30" x14ac:dyDescent="0.2">
      <c r="A79" s="166" t="s">
        <v>286</v>
      </c>
      <c r="B79" s="482"/>
      <c r="C79" s="482"/>
      <c r="D79" s="483"/>
      <c r="E79" s="484"/>
      <c r="F79" s="484"/>
      <c r="G79" s="484"/>
      <c r="H79" s="484"/>
    </row>
    <row r="80" spans="1:9" ht="45" x14ac:dyDescent="0.2">
      <c r="A80" s="166" t="s">
        <v>287</v>
      </c>
      <c r="B80" s="154">
        <v>2652</v>
      </c>
      <c r="C80" s="154">
        <v>407</v>
      </c>
      <c r="D80" s="162"/>
      <c r="E80" s="156"/>
      <c r="F80" s="156"/>
      <c r="G80" s="156"/>
      <c r="H80" s="156"/>
    </row>
    <row r="81" spans="1:8" ht="15" x14ac:dyDescent="0.2">
      <c r="A81" s="155" t="s">
        <v>288</v>
      </c>
      <c r="B81" s="154">
        <v>3000</v>
      </c>
      <c r="C81" s="154">
        <v>100</v>
      </c>
      <c r="D81" s="162"/>
      <c r="E81" s="156">
        <f>E82+E84+E85</f>
        <v>0</v>
      </c>
      <c r="F81" s="156">
        <f t="shared" ref="F81:G81" si="12">F82+F84+F85</f>
        <v>0</v>
      </c>
      <c r="G81" s="156">
        <f t="shared" si="12"/>
        <v>0</v>
      </c>
      <c r="H81" s="165" t="s">
        <v>234</v>
      </c>
    </row>
    <row r="82" spans="1:8" ht="15" x14ac:dyDescent="0.2">
      <c r="A82" s="161" t="s">
        <v>237</v>
      </c>
      <c r="B82" s="482">
        <v>3010</v>
      </c>
      <c r="C82" s="483"/>
      <c r="D82" s="483"/>
      <c r="E82" s="484"/>
      <c r="F82" s="484"/>
      <c r="G82" s="484"/>
      <c r="H82" s="481" t="s">
        <v>234</v>
      </c>
    </row>
    <row r="83" spans="1:8" x14ac:dyDescent="0.2">
      <c r="A83" s="167" t="s">
        <v>289</v>
      </c>
      <c r="B83" s="482"/>
      <c r="C83" s="483"/>
      <c r="D83" s="483"/>
      <c r="E83" s="484"/>
      <c r="F83" s="484"/>
      <c r="G83" s="484"/>
      <c r="H83" s="481"/>
    </row>
    <row r="84" spans="1:8" ht="15" x14ac:dyDescent="0.2">
      <c r="A84" s="167" t="s">
        <v>290</v>
      </c>
      <c r="B84" s="154">
        <v>3020</v>
      </c>
      <c r="C84" s="162"/>
      <c r="D84" s="162"/>
      <c r="E84" s="156"/>
      <c r="F84" s="156"/>
      <c r="G84" s="156"/>
      <c r="H84" s="165" t="s">
        <v>234</v>
      </c>
    </row>
    <row r="85" spans="1:8" ht="15" x14ac:dyDescent="0.2">
      <c r="A85" s="167" t="s">
        <v>291</v>
      </c>
      <c r="B85" s="154">
        <v>3030</v>
      </c>
      <c r="C85" s="162"/>
      <c r="D85" s="162"/>
      <c r="E85" s="156"/>
      <c r="F85" s="156"/>
      <c r="G85" s="156"/>
      <c r="H85" s="165" t="s">
        <v>234</v>
      </c>
    </row>
    <row r="86" spans="1:8" ht="15" x14ac:dyDescent="0.2">
      <c r="A86" s="155" t="s">
        <v>292</v>
      </c>
      <c r="B86" s="154">
        <v>4000</v>
      </c>
      <c r="C86" s="154" t="s">
        <v>234</v>
      </c>
      <c r="D86" s="162"/>
      <c r="E86" s="156">
        <f>E87</f>
        <v>0</v>
      </c>
      <c r="F86" s="156">
        <f t="shared" ref="F86:G86" si="13">F87</f>
        <v>0</v>
      </c>
      <c r="G86" s="156">
        <f t="shared" si="13"/>
        <v>0</v>
      </c>
      <c r="H86" s="165" t="s">
        <v>234</v>
      </c>
    </row>
    <row r="87" spans="1:8" ht="15" x14ac:dyDescent="0.2">
      <c r="A87" s="161" t="s">
        <v>249</v>
      </c>
      <c r="B87" s="482">
        <v>4010</v>
      </c>
      <c r="C87" s="482">
        <v>610</v>
      </c>
      <c r="D87" s="483"/>
      <c r="E87" s="484"/>
      <c r="F87" s="484"/>
      <c r="G87" s="484"/>
      <c r="H87" s="481" t="s">
        <v>234</v>
      </c>
    </row>
    <row r="88" spans="1:8" ht="15" x14ac:dyDescent="0.2">
      <c r="A88" s="161" t="s">
        <v>293</v>
      </c>
      <c r="B88" s="482"/>
      <c r="C88" s="482"/>
      <c r="D88" s="483"/>
      <c r="E88" s="484"/>
      <c r="F88" s="484"/>
      <c r="G88" s="484"/>
      <c r="H88" s="481"/>
    </row>
    <row r="89" spans="1:8" ht="15" x14ac:dyDescent="0.2">
      <c r="A89" s="162"/>
      <c r="B89" s="162"/>
      <c r="C89" s="162"/>
      <c r="D89" s="162"/>
      <c r="E89" s="156"/>
      <c r="F89" s="156"/>
      <c r="G89" s="156"/>
      <c r="H89" s="156"/>
    </row>
    <row r="91" spans="1:8" ht="15" x14ac:dyDescent="0.2">
      <c r="A91" s="168" t="s">
        <v>192</v>
      </c>
      <c r="C91" s="97"/>
      <c r="D91" s="169"/>
      <c r="E91" s="479" t="s">
        <v>792</v>
      </c>
      <c r="F91" s="479"/>
      <c r="G91" s="479"/>
    </row>
    <row r="92" spans="1:8" x14ac:dyDescent="0.2">
      <c r="A92" s="95" t="s">
        <v>294</v>
      </c>
      <c r="C92" s="110" t="s">
        <v>295</v>
      </c>
      <c r="D92" s="169"/>
      <c r="E92" s="480" t="s">
        <v>296</v>
      </c>
      <c r="F92" s="480"/>
      <c r="G92" s="480"/>
    </row>
    <row r="93" spans="1:8" ht="15" x14ac:dyDescent="0.2">
      <c r="A93" s="170" t="s">
        <v>297</v>
      </c>
    </row>
    <row r="94" spans="1:8" ht="15" x14ac:dyDescent="0.2">
      <c r="A94" s="170"/>
    </row>
    <row r="95" spans="1:8" ht="15" x14ac:dyDescent="0.2">
      <c r="A95" s="170" t="s">
        <v>298</v>
      </c>
      <c r="C95" s="97"/>
      <c r="D95" s="169"/>
      <c r="E95" s="479" t="s">
        <v>299</v>
      </c>
      <c r="F95" s="479"/>
      <c r="G95" s="479"/>
    </row>
    <row r="96" spans="1:8" ht="15" x14ac:dyDescent="0.2">
      <c r="A96" s="170"/>
      <c r="C96" s="110" t="s">
        <v>295</v>
      </c>
      <c r="D96" s="169"/>
      <c r="E96" s="480" t="s">
        <v>296</v>
      </c>
      <c r="F96" s="480"/>
      <c r="G96" s="480"/>
    </row>
    <row r="97" spans="1:7" ht="15" x14ac:dyDescent="0.2">
      <c r="A97" s="170"/>
    </row>
    <row r="98" spans="1:7" ht="15" x14ac:dyDescent="0.2">
      <c r="A98" s="170" t="s">
        <v>300</v>
      </c>
      <c r="C98" s="97"/>
      <c r="D98" s="169"/>
      <c r="E98" s="479" t="str">
        <f>E91</f>
        <v>Т.Б. Паюсова</v>
      </c>
      <c r="F98" s="479"/>
      <c r="G98" s="479"/>
    </row>
    <row r="99" spans="1:7" ht="15" x14ac:dyDescent="0.2">
      <c r="A99" s="170"/>
      <c r="C99" s="110" t="s">
        <v>295</v>
      </c>
      <c r="D99" s="169"/>
      <c r="E99" s="480" t="s">
        <v>296</v>
      </c>
      <c r="F99" s="480"/>
      <c r="G99" s="480"/>
    </row>
    <row r="100" spans="1:7" ht="15" x14ac:dyDescent="0.2">
      <c r="A100" s="170"/>
    </row>
    <row r="101" spans="1:7" ht="15" x14ac:dyDescent="0.2">
      <c r="A101" s="170" t="s">
        <v>301</v>
      </c>
    </row>
  </sheetData>
  <mergeCells count="124">
    <mergeCell ref="A1:H1"/>
    <mergeCell ref="A2:A3"/>
    <mergeCell ref="B2:B3"/>
    <mergeCell ref="C2:C3"/>
    <mergeCell ref="D2:D3"/>
    <mergeCell ref="E2:H2"/>
    <mergeCell ref="H8:H9"/>
    <mergeCell ref="B12:B13"/>
    <mergeCell ref="C12:C13"/>
    <mergeCell ref="D12:D13"/>
    <mergeCell ref="E12:E13"/>
    <mergeCell ref="F12:F13"/>
    <mergeCell ref="G12:G13"/>
    <mergeCell ref="H12:H13"/>
    <mergeCell ref="B8:B9"/>
    <mergeCell ref="C8:C9"/>
    <mergeCell ref="D8:D9"/>
    <mergeCell ref="E8:E9"/>
    <mergeCell ref="F8:F9"/>
    <mergeCell ref="G8:G9"/>
    <mergeCell ref="H21:H22"/>
    <mergeCell ref="B29:B30"/>
    <mergeCell ref="C29:C30"/>
    <mergeCell ref="D29:D30"/>
    <mergeCell ref="E29:E30"/>
    <mergeCell ref="F29:F30"/>
    <mergeCell ref="G29:G30"/>
    <mergeCell ref="H29:H30"/>
    <mergeCell ref="B21:B22"/>
    <mergeCell ref="C21:C22"/>
    <mergeCell ref="D21:D22"/>
    <mergeCell ref="E21:E22"/>
    <mergeCell ref="F21:F22"/>
    <mergeCell ref="G21:G22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40:H41"/>
    <mergeCell ref="B46:B47"/>
    <mergeCell ref="C46:C47"/>
    <mergeCell ref="D46:D47"/>
    <mergeCell ref="E46:E47"/>
    <mergeCell ref="F46:F47"/>
    <mergeCell ref="G46:G47"/>
    <mergeCell ref="H46:H47"/>
    <mergeCell ref="B40:B41"/>
    <mergeCell ref="C40:C41"/>
    <mergeCell ref="D40:D41"/>
    <mergeCell ref="E40:E41"/>
    <mergeCell ref="F40:F41"/>
    <mergeCell ref="G40:G41"/>
    <mergeCell ref="H50:H51"/>
    <mergeCell ref="B52:B53"/>
    <mergeCell ref="C52:C53"/>
    <mergeCell ref="D52:D53"/>
    <mergeCell ref="E52:E53"/>
    <mergeCell ref="F52:F53"/>
    <mergeCell ref="G52:G53"/>
    <mergeCell ref="H52:H53"/>
    <mergeCell ref="B50:B51"/>
    <mergeCell ref="C50:C51"/>
    <mergeCell ref="D50:D51"/>
    <mergeCell ref="E50:E51"/>
    <mergeCell ref="F50:F51"/>
    <mergeCell ref="G50:G51"/>
    <mergeCell ref="H59:H60"/>
    <mergeCell ref="B64:B65"/>
    <mergeCell ref="C64:C65"/>
    <mergeCell ref="D64:D65"/>
    <mergeCell ref="E64:E65"/>
    <mergeCell ref="F64:F65"/>
    <mergeCell ref="G64:G65"/>
    <mergeCell ref="H64:H65"/>
    <mergeCell ref="B59:B60"/>
    <mergeCell ref="C59:C60"/>
    <mergeCell ref="D59:D60"/>
    <mergeCell ref="E59:E60"/>
    <mergeCell ref="F59:F60"/>
    <mergeCell ref="G59:G60"/>
    <mergeCell ref="H71:H72"/>
    <mergeCell ref="B78:B79"/>
    <mergeCell ref="C78:C79"/>
    <mergeCell ref="D78:D79"/>
    <mergeCell ref="E78:E79"/>
    <mergeCell ref="F78:F79"/>
    <mergeCell ref="G78:G79"/>
    <mergeCell ref="H78:H79"/>
    <mergeCell ref="B71:B72"/>
    <mergeCell ref="C71:C72"/>
    <mergeCell ref="D71:D72"/>
    <mergeCell ref="E71:E72"/>
    <mergeCell ref="F71:F72"/>
    <mergeCell ref="G71:G72"/>
    <mergeCell ref="E91:G91"/>
    <mergeCell ref="E92:G92"/>
    <mergeCell ref="E95:G95"/>
    <mergeCell ref="E96:G96"/>
    <mergeCell ref="E98:G98"/>
    <mergeCell ref="E99:G99"/>
    <mergeCell ref="H82:H83"/>
    <mergeCell ref="B87:B88"/>
    <mergeCell ref="C87:C88"/>
    <mergeCell ref="D87:D88"/>
    <mergeCell ref="E87:E88"/>
    <mergeCell ref="F87:F88"/>
    <mergeCell ref="G87:G88"/>
    <mergeCell ref="H87:H88"/>
    <mergeCell ref="B82:B83"/>
    <mergeCell ref="C82:C83"/>
    <mergeCell ref="D82:D83"/>
    <mergeCell ref="E82:E83"/>
    <mergeCell ref="F82:F83"/>
    <mergeCell ref="G82:G83"/>
  </mergeCells>
  <hyperlinks>
    <hyperlink ref="C2" location="P636" display="P636"/>
    <hyperlink ref="D2" location="P652" display="P652"/>
    <hyperlink ref="A5" location="P660" display="P660"/>
    <hyperlink ref="A6" location="P660" display="P660"/>
    <hyperlink ref="A28" location="P666" display="P666"/>
    <hyperlink ref="A70" location="P674" display="P674"/>
    <hyperlink ref="A81" location="P678" display="P678"/>
    <hyperlink ref="A83" location="P678" display="P678"/>
    <hyperlink ref="A84" location="P678" display="P678"/>
    <hyperlink ref="A85" location="P678" display="P678"/>
    <hyperlink ref="A86" location="P679" display="P679"/>
  </hyperlinks>
  <pageMargins left="0.70866141732283472" right="0" top="0.35433070866141736" bottom="0" header="0.31496062992125984" footer="0.31496062992125984"/>
  <pageSetup paperSize="9" scale="64" orientation="portrait" verticalDpi="0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>
      <selection activeCell="G35" sqref="G35:H35"/>
    </sheetView>
  </sheetViews>
  <sheetFormatPr defaultRowHeight="12.75" x14ac:dyDescent="0.2"/>
  <cols>
    <col min="1" max="1" width="7.42578125" style="96" customWidth="1"/>
    <col min="2" max="2" width="81.85546875" style="96" customWidth="1"/>
    <col min="3" max="3" width="11.5703125" style="96" bestFit="1" customWidth="1"/>
    <col min="4" max="4" width="12.140625" style="96" customWidth="1"/>
    <col min="5" max="5" width="15.85546875" style="96" customWidth="1"/>
    <col min="6" max="6" width="19.140625" style="96" customWidth="1"/>
    <col min="7" max="7" width="18" style="96" customWidth="1"/>
    <col min="8" max="8" width="14.42578125" style="96" customWidth="1"/>
    <col min="9" max="256" width="9.140625" style="96"/>
    <col min="257" max="257" width="10.42578125" style="96" customWidth="1"/>
    <col min="258" max="258" width="70.28515625" style="96" customWidth="1"/>
    <col min="259" max="259" width="11.5703125" style="96" bestFit="1" customWidth="1"/>
    <col min="260" max="260" width="12.140625" style="96" customWidth="1"/>
    <col min="261" max="261" width="15.85546875" style="96" customWidth="1"/>
    <col min="262" max="262" width="19.140625" style="96" customWidth="1"/>
    <col min="263" max="263" width="18" style="96" customWidth="1"/>
    <col min="264" max="264" width="15.85546875" style="96" customWidth="1"/>
    <col min="265" max="512" width="9.140625" style="96"/>
    <col min="513" max="513" width="10.42578125" style="96" customWidth="1"/>
    <col min="514" max="514" width="70.28515625" style="96" customWidth="1"/>
    <col min="515" max="515" width="11.5703125" style="96" bestFit="1" customWidth="1"/>
    <col min="516" max="516" width="12.140625" style="96" customWidth="1"/>
    <col min="517" max="517" width="15.85546875" style="96" customWidth="1"/>
    <col min="518" max="518" width="19.140625" style="96" customWidth="1"/>
    <col min="519" max="519" width="18" style="96" customWidth="1"/>
    <col min="520" max="520" width="15.85546875" style="96" customWidth="1"/>
    <col min="521" max="768" width="9.140625" style="96"/>
    <col min="769" max="769" width="10.42578125" style="96" customWidth="1"/>
    <col min="770" max="770" width="70.28515625" style="96" customWidth="1"/>
    <col min="771" max="771" width="11.5703125" style="96" bestFit="1" customWidth="1"/>
    <col min="772" max="772" width="12.140625" style="96" customWidth="1"/>
    <col min="773" max="773" width="15.85546875" style="96" customWidth="1"/>
    <col min="774" max="774" width="19.140625" style="96" customWidth="1"/>
    <col min="775" max="775" width="18" style="96" customWidth="1"/>
    <col min="776" max="776" width="15.85546875" style="96" customWidth="1"/>
    <col min="777" max="1024" width="9.140625" style="96"/>
    <col min="1025" max="1025" width="10.42578125" style="96" customWidth="1"/>
    <col min="1026" max="1026" width="70.28515625" style="96" customWidth="1"/>
    <col min="1027" max="1027" width="11.5703125" style="96" bestFit="1" customWidth="1"/>
    <col min="1028" max="1028" width="12.140625" style="96" customWidth="1"/>
    <col min="1029" max="1029" width="15.85546875" style="96" customWidth="1"/>
    <col min="1030" max="1030" width="19.140625" style="96" customWidth="1"/>
    <col min="1031" max="1031" width="18" style="96" customWidth="1"/>
    <col min="1032" max="1032" width="15.85546875" style="96" customWidth="1"/>
    <col min="1033" max="1280" width="9.140625" style="96"/>
    <col min="1281" max="1281" width="10.42578125" style="96" customWidth="1"/>
    <col min="1282" max="1282" width="70.28515625" style="96" customWidth="1"/>
    <col min="1283" max="1283" width="11.5703125" style="96" bestFit="1" customWidth="1"/>
    <col min="1284" max="1284" width="12.140625" style="96" customWidth="1"/>
    <col min="1285" max="1285" width="15.85546875" style="96" customWidth="1"/>
    <col min="1286" max="1286" width="19.140625" style="96" customWidth="1"/>
    <col min="1287" max="1287" width="18" style="96" customWidth="1"/>
    <col min="1288" max="1288" width="15.85546875" style="96" customWidth="1"/>
    <col min="1289" max="1536" width="9.140625" style="96"/>
    <col min="1537" max="1537" width="10.42578125" style="96" customWidth="1"/>
    <col min="1538" max="1538" width="70.28515625" style="96" customWidth="1"/>
    <col min="1539" max="1539" width="11.5703125" style="96" bestFit="1" customWidth="1"/>
    <col min="1540" max="1540" width="12.140625" style="96" customWidth="1"/>
    <col min="1541" max="1541" width="15.85546875" style="96" customWidth="1"/>
    <col min="1542" max="1542" width="19.140625" style="96" customWidth="1"/>
    <col min="1543" max="1543" width="18" style="96" customWidth="1"/>
    <col min="1544" max="1544" width="15.85546875" style="96" customWidth="1"/>
    <col min="1545" max="1792" width="9.140625" style="96"/>
    <col min="1793" max="1793" width="10.42578125" style="96" customWidth="1"/>
    <col min="1794" max="1794" width="70.28515625" style="96" customWidth="1"/>
    <col min="1795" max="1795" width="11.5703125" style="96" bestFit="1" customWidth="1"/>
    <col min="1796" max="1796" width="12.140625" style="96" customWidth="1"/>
    <col min="1797" max="1797" width="15.85546875" style="96" customWidth="1"/>
    <col min="1798" max="1798" width="19.140625" style="96" customWidth="1"/>
    <col min="1799" max="1799" width="18" style="96" customWidth="1"/>
    <col min="1800" max="1800" width="15.85546875" style="96" customWidth="1"/>
    <col min="1801" max="2048" width="9.140625" style="96"/>
    <col min="2049" max="2049" width="10.42578125" style="96" customWidth="1"/>
    <col min="2050" max="2050" width="70.28515625" style="96" customWidth="1"/>
    <col min="2051" max="2051" width="11.5703125" style="96" bestFit="1" customWidth="1"/>
    <col min="2052" max="2052" width="12.140625" style="96" customWidth="1"/>
    <col min="2053" max="2053" width="15.85546875" style="96" customWidth="1"/>
    <col min="2054" max="2054" width="19.140625" style="96" customWidth="1"/>
    <col min="2055" max="2055" width="18" style="96" customWidth="1"/>
    <col min="2056" max="2056" width="15.85546875" style="96" customWidth="1"/>
    <col min="2057" max="2304" width="9.140625" style="96"/>
    <col min="2305" max="2305" width="10.42578125" style="96" customWidth="1"/>
    <col min="2306" max="2306" width="70.28515625" style="96" customWidth="1"/>
    <col min="2307" max="2307" width="11.5703125" style="96" bestFit="1" customWidth="1"/>
    <col min="2308" max="2308" width="12.140625" style="96" customWidth="1"/>
    <col min="2309" max="2309" width="15.85546875" style="96" customWidth="1"/>
    <col min="2310" max="2310" width="19.140625" style="96" customWidth="1"/>
    <col min="2311" max="2311" width="18" style="96" customWidth="1"/>
    <col min="2312" max="2312" width="15.85546875" style="96" customWidth="1"/>
    <col min="2313" max="2560" width="9.140625" style="96"/>
    <col min="2561" max="2561" width="10.42578125" style="96" customWidth="1"/>
    <col min="2562" max="2562" width="70.28515625" style="96" customWidth="1"/>
    <col min="2563" max="2563" width="11.5703125" style="96" bestFit="1" customWidth="1"/>
    <col min="2564" max="2564" width="12.140625" style="96" customWidth="1"/>
    <col min="2565" max="2565" width="15.85546875" style="96" customWidth="1"/>
    <col min="2566" max="2566" width="19.140625" style="96" customWidth="1"/>
    <col min="2567" max="2567" width="18" style="96" customWidth="1"/>
    <col min="2568" max="2568" width="15.85546875" style="96" customWidth="1"/>
    <col min="2569" max="2816" width="9.140625" style="96"/>
    <col min="2817" max="2817" width="10.42578125" style="96" customWidth="1"/>
    <col min="2818" max="2818" width="70.28515625" style="96" customWidth="1"/>
    <col min="2819" max="2819" width="11.5703125" style="96" bestFit="1" customWidth="1"/>
    <col min="2820" max="2820" width="12.140625" style="96" customWidth="1"/>
    <col min="2821" max="2821" width="15.85546875" style="96" customWidth="1"/>
    <col min="2822" max="2822" width="19.140625" style="96" customWidth="1"/>
    <col min="2823" max="2823" width="18" style="96" customWidth="1"/>
    <col min="2824" max="2824" width="15.85546875" style="96" customWidth="1"/>
    <col min="2825" max="3072" width="9.140625" style="96"/>
    <col min="3073" max="3073" width="10.42578125" style="96" customWidth="1"/>
    <col min="3074" max="3074" width="70.28515625" style="96" customWidth="1"/>
    <col min="3075" max="3075" width="11.5703125" style="96" bestFit="1" customWidth="1"/>
    <col min="3076" max="3076" width="12.140625" style="96" customWidth="1"/>
    <col min="3077" max="3077" width="15.85546875" style="96" customWidth="1"/>
    <col min="3078" max="3078" width="19.140625" style="96" customWidth="1"/>
    <col min="3079" max="3079" width="18" style="96" customWidth="1"/>
    <col min="3080" max="3080" width="15.85546875" style="96" customWidth="1"/>
    <col min="3081" max="3328" width="9.140625" style="96"/>
    <col min="3329" max="3329" width="10.42578125" style="96" customWidth="1"/>
    <col min="3330" max="3330" width="70.28515625" style="96" customWidth="1"/>
    <col min="3331" max="3331" width="11.5703125" style="96" bestFit="1" customWidth="1"/>
    <col min="3332" max="3332" width="12.140625" style="96" customWidth="1"/>
    <col min="3333" max="3333" width="15.85546875" style="96" customWidth="1"/>
    <col min="3334" max="3334" width="19.140625" style="96" customWidth="1"/>
    <col min="3335" max="3335" width="18" style="96" customWidth="1"/>
    <col min="3336" max="3336" width="15.85546875" style="96" customWidth="1"/>
    <col min="3337" max="3584" width="9.140625" style="96"/>
    <col min="3585" max="3585" width="10.42578125" style="96" customWidth="1"/>
    <col min="3586" max="3586" width="70.28515625" style="96" customWidth="1"/>
    <col min="3587" max="3587" width="11.5703125" style="96" bestFit="1" customWidth="1"/>
    <col min="3588" max="3588" width="12.140625" style="96" customWidth="1"/>
    <col min="3589" max="3589" width="15.85546875" style="96" customWidth="1"/>
    <col min="3590" max="3590" width="19.140625" style="96" customWidth="1"/>
    <col min="3591" max="3591" width="18" style="96" customWidth="1"/>
    <col min="3592" max="3592" width="15.85546875" style="96" customWidth="1"/>
    <col min="3593" max="3840" width="9.140625" style="96"/>
    <col min="3841" max="3841" width="10.42578125" style="96" customWidth="1"/>
    <col min="3842" max="3842" width="70.28515625" style="96" customWidth="1"/>
    <col min="3843" max="3843" width="11.5703125" style="96" bestFit="1" customWidth="1"/>
    <col min="3844" max="3844" width="12.140625" style="96" customWidth="1"/>
    <col min="3845" max="3845" width="15.85546875" style="96" customWidth="1"/>
    <col min="3846" max="3846" width="19.140625" style="96" customWidth="1"/>
    <col min="3847" max="3847" width="18" style="96" customWidth="1"/>
    <col min="3848" max="3848" width="15.85546875" style="96" customWidth="1"/>
    <col min="3849" max="4096" width="9.140625" style="96"/>
    <col min="4097" max="4097" width="10.42578125" style="96" customWidth="1"/>
    <col min="4098" max="4098" width="70.28515625" style="96" customWidth="1"/>
    <col min="4099" max="4099" width="11.5703125" style="96" bestFit="1" customWidth="1"/>
    <col min="4100" max="4100" width="12.140625" style="96" customWidth="1"/>
    <col min="4101" max="4101" width="15.85546875" style="96" customWidth="1"/>
    <col min="4102" max="4102" width="19.140625" style="96" customWidth="1"/>
    <col min="4103" max="4103" width="18" style="96" customWidth="1"/>
    <col min="4104" max="4104" width="15.85546875" style="96" customWidth="1"/>
    <col min="4105" max="4352" width="9.140625" style="96"/>
    <col min="4353" max="4353" width="10.42578125" style="96" customWidth="1"/>
    <col min="4354" max="4354" width="70.28515625" style="96" customWidth="1"/>
    <col min="4355" max="4355" width="11.5703125" style="96" bestFit="1" customWidth="1"/>
    <col min="4356" max="4356" width="12.140625" style="96" customWidth="1"/>
    <col min="4357" max="4357" width="15.85546875" style="96" customWidth="1"/>
    <col min="4358" max="4358" width="19.140625" style="96" customWidth="1"/>
    <col min="4359" max="4359" width="18" style="96" customWidth="1"/>
    <col min="4360" max="4360" width="15.85546875" style="96" customWidth="1"/>
    <col min="4361" max="4608" width="9.140625" style="96"/>
    <col min="4609" max="4609" width="10.42578125" style="96" customWidth="1"/>
    <col min="4610" max="4610" width="70.28515625" style="96" customWidth="1"/>
    <col min="4611" max="4611" width="11.5703125" style="96" bestFit="1" customWidth="1"/>
    <col min="4612" max="4612" width="12.140625" style="96" customWidth="1"/>
    <col min="4613" max="4613" width="15.85546875" style="96" customWidth="1"/>
    <col min="4614" max="4614" width="19.140625" style="96" customWidth="1"/>
    <col min="4615" max="4615" width="18" style="96" customWidth="1"/>
    <col min="4616" max="4616" width="15.85546875" style="96" customWidth="1"/>
    <col min="4617" max="4864" width="9.140625" style="96"/>
    <col min="4865" max="4865" width="10.42578125" style="96" customWidth="1"/>
    <col min="4866" max="4866" width="70.28515625" style="96" customWidth="1"/>
    <col min="4867" max="4867" width="11.5703125" style="96" bestFit="1" customWidth="1"/>
    <col min="4868" max="4868" width="12.140625" style="96" customWidth="1"/>
    <col min="4869" max="4869" width="15.85546875" style="96" customWidth="1"/>
    <col min="4870" max="4870" width="19.140625" style="96" customWidth="1"/>
    <col min="4871" max="4871" width="18" style="96" customWidth="1"/>
    <col min="4872" max="4872" width="15.85546875" style="96" customWidth="1"/>
    <col min="4873" max="5120" width="9.140625" style="96"/>
    <col min="5121" max="5121" width="10.42578125" style="96" customWidth="1"/>
    <col min="5122" max="5122" width="70.28515625" style="96" customWidth="1"/>
    <col min="5123" max="5123" width="11.5703125" style="96" bestFit="1" customWidth="1"/>
    <col min="5124" max="5124" width="12.140625" style="96" customWidth="1"/>
    <col min="5125" max="5125" width="15.85546875" style="96" customWidth="1"/>
    <col min="5126" max="5126" width="19.140625" style="96" customWidth="1"/>
    <col min="5127" max="5127" width="18" style="96" customWidth="1"/>
    <col min="5128" max="5128" width="15.85546875" style="96" customWidth="1"/>
    <col min="5129" max="5376" width="9.140625" style="96"/>
    <col min="5377" max="5377" width="10.42578125" style="96" customWidth="1"/>
    <col min="5378" max="5378" width="70.28515625" style="96" customWidth="1"/>
    <col min="5379" max="5379" width="11.5703125" style="96" bestFit="1" customWidth="1"/>
    <col min="5380" max="5380" width="12.140625" style="96" customWidth="1"/>
    <col min="5381" max="5381" width="15.85546875" style="96" customWidth="1"/>
    <col min="5382" max="5382" width="19.140625" style="96" customWidth="1"/>
    <col min="5383" max="5383" width="18" style="96" customWidth="1"/>
    <col min="5384" max="5384" width="15.85546875" style="96" customWidth="1"/>
    <col min="5385" max="5632" width="9.140625" style="96"/>
    <col min="5633" max="5633" width="10.42578125" style="96" customWidth="1"/>
    <col min="5634" max="5634" width="70.28515625" style="96" customWidth="1"/>
    <col min="5635" max="5635" width="11.5703125" style="96" bestFit="1" customWidth="1"/>
    <col min="5636" max="5636" width="12.140625" style="96" customWidth="1"/>
    <col min="5637" max="5637" width="15.85546875" style="96" customWidth="1"/>
    <col min="5638" max="5638" width="19.140625" style="96" customWidth="1"/>
    <col min="5639" max="5639" width="18" style="96" customWidth="1"/>
    <col min="5640" max="5640" width="15.85546875" style="96" customWidth="1"/>
    <col min="5641" max="5888" width="9.140625" style="96"/>
    <col min="5889" max="5889" width="10.42578125" style="96" customWidth="1"/>
    <col min="5890" max="5890" width="70.28515625" style="96" customWidth="1"/>
    <col min="5891" max="5891" width="11.5703125" style="96" bestFit="1" customWidth="1"/>
    <col min="5892" max="5892" width="12.140625" style="96" customWidth="1"/>
    <col min="5893" max="5893" width="15.85546875" style="96" customWidth="1"/>
    <col min="5894" max="5894" width="19.140625" style="96" customWidth="1"/>
    <col min="5895" max="5895" width="18" style="96" customWidth="1"/>
    <col min="5896" max="5896" width="15.85546875" style="96" customWidth="1"/>
    <col min="5897" max="6144" width="9.140625" style="96"/>
    <col min="6145" max="6145" width="10.42578125" style="96" customWidth="1"/>
    <col min="6146" max="6146" width="70.28515625" style="96" customWidth="1"/>
    <col min="6147" max="6147" width="11.5703125" style="96" bestFit="1" customWidth="1"/>
    <col min="6148" max="6148" width="12.140625" style="96" customWidth="1"/>
    <col min="6149" max="6149" width="15.85546875" style="96" customWidth="1"/>
    <col min="6150" max="6150" width="19.140625" style="96" customWidth="1"/>
    <col min="6151" max="6151" width="18" style="96" customWidth="1"/>
    <col min="6152" max="6152" width="15.85546875" style="96" customWidth="1"/>
    <col min="6153" max="6400" width="9.140625" style="96"/>
    <col min="6401" max="6401" width="10.42578125" style="96" customWidth="1"/>
    <col min="6402" max="6402" width="70.28515625" style="96" customWidth="1"/>
    <col min="6403" max="6403" width="11.5703125" style="96" bestFit="1" customWidth="1"/>
    <col min="6404" max="6404" width="12.140625" style="96" customWidth="1"/>
    <col min="6405" max="6405" width="15.85546875" style="96" customWidth="1"/>
    <col min="6406" max="6406" width="19.140625" style="96" customWidth="1"/>
    <col min="6407" max="6407" width="18" style="96" customWidth="1"/>
    <col min="6408" max="6408" width="15.85546875" style="96" customWidth="1"/>
    <col min="6409" max="6656" width="9.140625" style="96"/>
    <col min="6657" max="6657" width="10.42578125" style="96" customWidth="1"/>
    <col min="6658" max="6658" width="70.28515625" style="96" customWidth="1"/>
    <col min="6659" max="6659" width="11.5703125" style="96" bestFit="1" customWidth="1"/>
    <col min="6660" max="6660" width="12.140625" style="96" customWidth="1"/>
    <col min="6661" max="6661" width="15.85546875" style="96" customWidth="1"/>
    <col min="6662" max="6662" width="19.140625" style="96" customWidth="1"/>
    <col min="6663" max="6663" width="18" style="96" customWidth="1"/>
    <col min="6664" max="6664" width="15.85546875" style="96" customWidth="1"/>
    <col min="6665" max="6912" width="9.140625" style="96"/>
    <col min="6913" max="6913" width="10.42578125" style="96" customWidth="1"/>
    <col min="6914" max="6914" width="70.28515625" style="96" customWidth="1"/>
    <col min="6915" max="6915" width="11.5703125" style="96" bestFit="1" customWidth="1"/>
    <col min="6916" max="6916" width="12.140625" style="96" customWidth="1"/>
    <col min="6917" max="6917" width="15.85546875" style="96" customWidth="1"/>
    <col min="6918" max="6918" width="19.140625" style="96" customWidth="1"/>
    <col min="6919" max="6919" width="18" style="96" customWidth="1"/>
    <col min="6920" max="6920" width="15.85546875" style="96" customWidth="1"/>
    <col min="6921" max="7168" width="9.140625" style="96"/>
    <col min="7169" max="7169" width="10.42578125" style="96" customWidth="1"/>
    <col min="7170" max="7170" width="70.28515625" style="96" customWidth="1"/>
    <col min="7171" max="7171" width="11.5703125" style="96" bestFit="1" customWidth="1"/>
    <col min="7172" max="7172" width="12.140625" style="96" customWidth="1"/>
    <col min="7173" max="7173" width="15.85546875" style="96" customWidth="1"/>
    <col min="7174" max="7174" width="19.140625" style="96" customWidth="1"/>
    <col min="7175" max="7175" width="18" style="96" customWidth="1"/>
    <col min="7176" max="7176" width="15.85546875" style="96" customWidth="1"/>
    <col min="7177" max="7424" width="9.140625" style="96"/>
    <col min="7425" max="7425" width="10.42578125" style="96" customWidth="1"/>
    <col min="7426" max="7426" width="70.28515625" style="96" customWidth="1"/>
    <col min="7427" max="7427" width="11.5703125" style="96" bestFit="1" customWidth="1"/>
    <col min="7428" max="7428" width="12.140625" style="96" customWidth="1"/>
    <col min="7429" max="7429" width="15.85546875" style="96" customWidth="1"/>
    <col min="7430" max="7430" width="19.140625" style="96" customWidth="1"/>
    <col min="7431" max="7431" width="18" style="96" customWidth="1"/>
    <col min="7432" max="7432" width="15.85546875" style="96" customWidth="1"/>
    <col min="7433" max="7680" width="9.140625" style="96"/>
    <col min="7681" max="7681" width="10.42578125" style="96" customWidth="1"/>
    <col min="7682" max="7682" width="70.28515625" style="96" customWidth="1"/>
    <col min="7683" max="7683" width="11.5703125" style="96" bestFit="1" customWidth="1"/>
    <col min="7684" max="7684" width="12.140625" style="96" customWidth="1"/>
    <col min="7685" max="7685" width="15.85546875" style="96" customWidth="1"/>
    <col min="7686" max="7686" width="19.140625" style="96" customWidth="1"/>
    <col min="7687" max="7687" width="18" style="96" customWidth="1"/>
    <col min="7688" max="7688" width="15.85546875" style="96" customWidth="1"/>
    <col min="7689" max="7936" width="9.140625" style="96"/>
    <col min="7937" max="7937" width="10.42578125" style="96" customWidth="1"/>
    <col min="7938" max="7938" width="70.28515625" style="96" customWidth="1"/>
    <col min="7939" max="7939" width="11.5703125" style="96" bestFit="1" customWidth="1"/>
    <col min="7940" max="7940" width="12.140625" style="96" customWidth="1"/>
    <col min="7941" max="7941" width="15.85546875" style="96" customWidth="1"/>
    <col min="7942" max="7942" width="19.140625" style="96" customWidth="1"/>
    <col min="7943" max="7943" width="18" style="96" customWidth="1"/>
    <col min="7944" max="7944" width="15.85546875" style="96" customWidth="1"/>
    <col min="7945" max="8192" width="9.140625" style="96"/>
    <col min="8193" max="8193" width="10.42578125" style="96" customWidth="1"/>
    <col min="8194" max="8194" width="70.28515625" style="96" customWidth="1"/>
    <col min="8195" max="8195" width="11.5703125" style="96" bestFit="1" customWidth="1"/>
    <col min="8196" max="8196" width="12.140625" style="96" customWidth="1"/>
    <col min="8197" max="8197" width="15.85546875" style="96" customWidth="1"/>
    <col min="8198" max="8198" width="19.140625" style="96" customWidth="1"/>
    <col min="8199" max="8199" width="18" style="96" customWidth="1"/>
    <col min="8200" max="8200" width="15.85546875" style="96" customWidth="1"/>
    <col min="8201" max="8448" width="9.140625" style="96"/>
    <col min="8449" max="8449" width="10.42578125" style="96" customWidth="1"/>
    <col min="8450" max="8450" width="70.28515625" style="96" customWidth="1"/>
    <col min="8451" max="8451" width="11.5703125" style="96" bestFit="1" customWidth="1"/>
    <col min="8452" max="8452" width="12.140625" style="96" customWidth="1"/>
    <col min="8453" max="8453" width="15.85546875" style="96" customWidth="1"/>
    <col min="8454" max="8454" width="19.140625" style="96" customWidth="1"/>
    <col min="8455" max="8455" width="18" style="96" customWidth="1"/>
    <col min="8456" max="8456" width="15.85546875" style="96" customWidth="1"/>
    <col min="8457" max="8704" width="9.140625" style="96"/>
    <col min="8705" max="8705" width="10.42578125" style="96" customWidth="1"/>
    <col min="8706" max="8706" width="70.28515625" style="96" customWidth="1"/>
    <col min="8707" max="8707" width="11.5703125" style="96" bestFit="1" customWidth="1"/>
    <col min="8708" max="8708" width="12.140625" style="96" customWidth="1"/>
    <col min="8709" max="8709" width="15.85546875" style="96" customWidth="1"/>
    <col min="8710" max="8710" width="19.140625" style="96" customWidth="1"/>
    <col min="8711" max="8711" width="18" style="96" customWidth="1"/>
    <col min="8712" max="8712" width="15.85546875" style="96" customWidth="1"/>
    <col min="8713" max="8960" width="9.140625" style="96"/>
    <col min="8961" max="8961" width="10.42578125" style="96" customWidth="1"/>
    <col min="8962" max="8962" width="70.28515625" style="96" customWidth="1"/>
    <col min="8963" max="8963" width="11.5703125" style="96" bestFit="1" customWidth="1"/>
    <col min="8964" max="8964" width="12.140625" style="96" customWidth="1"/>
    <col min="8965" max="8965" width="15.85546875" style="96" customWidth="1"/>
    <col min="8966" max="8966" width="19.140625" style="96" customWidth="1"/>
    <col min="8967" max="8967" width="18" style="96" customWidth="1"/>
    <col min="8968" max="8968" width="15.85546875" style="96" customWidth="1"/>
    <col min="8969" max="9216" width="9.140625" style="96"/>
    <col min="9217" max="9217" width="10.42578125" style="96" customWidth="1"/>
    <col min="9218" max="9218" width="70.28515625" style="96" customWidth="1"/>
    <col min="9219" max="9219" width="11.5703125" style="96" bestFit="1" customWidth="1"/>
    <col min="9220" max="9220" width="12.140625" style="96" customWidth="1"/>
    <col min="9221" max="9221" width="15.85546875" style="96" customWidth="1"/>
    <col min="9222" max="9222" width="19.140625" style="96" customWidth="1"/>
    <col min="9223" max="9223" width="18" style="96" customWidth="1"/>
    <col min="9224" max="9224" width="15.85546875" style="96" customWidth="1"/>
    <col min="9225" max="9472" width="9.140625" style="96"/>
    <col min="9473" max="9473" width="10.42578125" style="96" customWidth="1"/>
    <col min="9474" max="9474" width="70.28515625" style="96" customWidth="1"/>
    <col min="9475" max="9475" width="11.5703125" style="96" bestFit="1" customWidth="1"/>
    <col min="9476" max="9476" width="12.140625" style="96" customWidth="1"/>
    <col min="9477" max="9477" width="15.85546875" style="96" customWidth="1"/>
    <col min="9478" max="9478" width="19.140625" style="96" customWidth="1"/>
    <col min="9479" max="9479" width="18" style="96" customWidth="1"/>
    <col min="9480" max="9480" width="15.85546875" style="96" customWidth="1"/>
    <col min="9481" max="9728" width="9.140625" style="96"/>
    <col min="9729" max="9729" width="10.42578125" style="96" customWidth="1"/>
    <col min="9730" max="9730" width="70.28515625" style="96" customWidth="1"/>
    <col min="9731" max="9731" width="11.5703125" style="96" bestFit="1" customWidth="1"/>
    <col min="9732" max="9732" width="12.140625" style="96" customWidth="1"/>
    <col min="9733" max="9733" width="15.85546875" style="96" customWidth="1"/>
    <col min="9734" max="9734" width="19.140625" style="96" customWidth="1"/>
    <col min="9735" max="9735" width="18" style="96" customWidth="1"/>
    <col min="9736" max="9736" width="15.85546875" style="96" customWidth="1"/>
    <col min="9737" max="9984" width="9.140625" style="96"/>
    <col min="9985" max="9985" width="10.42578125" style="96" customWidth="1"/>
    <col min="9986" max="9986" width="70.28515625" style="96" customWidth="1"/>
    <col min="9987" max="9987" width="11.5703125" style="96" bestFit="1" customWidth="1"/>
    <col min="9988" max="9988" width="12.140625" style="96" customWidth="1"/>
    <col min="9989" max="9989" width="15.85546875" style="96" customWidth="1"/>
    <col min="9990" max="9990" width="19.140625" style="96" customWidth="1"/>
    <col min="9991" max="9991" width="18" style="96" customWidth="1"/>
    <col min="9992" max="9992" width="15.85546875" style="96" customWidth="1"/>
    <col min="9993" max="10240" width="9.140625" style="96"/>
    <col min="10241" max="10241" width="10.42578125" style="96" customWidth="1"/>
    <col min="10242" max="10242" width="70.28515625" style="96" customWidth="1"/>
    <col min="10243" max="10243" width="11.5703125" style="96" bestFit="1" customWidth="1"/>
    <col min="10244" max="10244" width="12.140625" style="96" customWidth="1"/>
    <col min="10245" max="10245" width="15.85546875" style="96" customWidth="1"/>
    <col min="10246" max="10246" width="19.140625" style="96" customWidth="1"/>
    <col min="10247" max="10247" width="18" style="96" customWidth="1"/>
    <col min="10248" max="10248" width="15.85546875" style="96" customWidth="1"/>
    <col min="10249" max="10496" width="9.140625" style="96"/>
    <col min="10497" max="10497" width="10.42578125" style="96" customWidth="1"/>
    <col min="10498" max="10498" width="70.28515625" style="96" customWidth="1"/>
    <col min="10499" max="10499" width="11.5703125" style="96" bestFit="1" customWidth="1"/>
    <col min="10500" max="10500" width="12.140625" style="96" customWidth="1"/>
    <col min="10501" max="10501" width="15.85546875" style="96" customWidth="1"/>
    <col min="10502" max="10502" width="19.140625" style="96" customWidth="1"/>
    <col min="10503" max="10503" width="18" style="96" customWidth="1"/>
    <col min="10504" max="10504" width="15.85546875" style="96" customWidth="1"/>
    <col min="10505" max="10752" width="9.140625" style="96"/>
    <col min="10753" max="10753" width="10.42578125" style="96" customWidth="1"/>
    <col min="10754" max="10754" width="70.28515625" style="96" customWidth="1"/>
    <col min="10755" max="10755" width="11.5703125" style="96" bestFit="1" customWidth="1"/>
    <col min="10756" max="10756" width="12.140625" style="96" customWidth="1"/>
    <col min="10757" max="10757" width="15.85546875" style="96" customWidth="1"/>
    <col min="10758" max="10758" width="19.140625" style="96" customWidth="1"/>
    <col min="10759" max="10759" width="18" style="96" customWidth="1"/>
    <col min="10760" max="10760" width="15.85546875" style="96" customWidth="1"/>
    <col min="10761" max="11008" width="9.140625" style="96"/>
    <col min="11009" max="11009" width="10.42578125" style="96" customWidth="1"/>
    <col min="11010" max="11010" width="70.28515625" style="96" customWidth="1"/>
    <col min="11011" max="11011" width="11.5703125" style="96" bestFit="1" customWidth="1"/>
    <col min="11012" max="11012" width="12.140625" style="96" customWidth="1"/>
    <col min="11013" max="11013" width="15.85546875" style="96" customWidth="1"/>
    <col min="11014" max="11014" width="19.140625" style="96" customWidth="1"/>
    <col min="11015" max="11015" width="18" style="96" customWidth="1"/>
    <col min="11016" max="11016" width="15.85546875" style="96" customWidth="1"/>
    <col min="11017" max="11264" width="9.140625" style="96"/>
    <col min="11265" max="11265" width="10.42578125" style="96" customWidth="1"/>
    <col min="11266" max="11266" width="70.28515625" style="96" customWidth="1"/>
    <col min="11267" max="11267" width="11.5703125" style="96" bestFit="1" customWidth="1"/>
    <col min="11268" max="11268" width="12.140625" style="96" customWidth="1"/>
    <col min="11269" max="11269" width="15.85546875" style="96" customWidth="1"/>
    <col min="11270" max="11270" width="19.140625" style="96" customWidth="1"/>
    <col min="11271" max="11271" width="18" style="96" customWidth="1"/>
    <col min="11272" max="11272" width="15.85546875" style="96" customWidth="1"/>
    <col min="11273" max="11520" width="9.140625" style="96"/>
    <col min="11521" max="11521" width="10.42578125" style="96" customWidth="1"/>
    <col min="11522" max="11522" width="70.28515625" style="96" customWidth="1"/>
    <col min="11523" max="11523" width="11.5703125" style="96" bestFit="1" customWidth="1"/>
    <col min="11524" max="11524" width="12.140625" style="96" customWidth="1"/>
    <col min="11525" max="11525" width="15.85546875" style="96" customWidth="1"/>
    <col min="11526" max="11526" width="19.140625" style="96" customWidth="1"/>
    <col min="11527" max="11527" width="18" style="96" customWidth="1"/>
    <col min="11528" max="11528" width="15.85546875" style="96" customWidth="1"/>
    <col min="11529" max="11776" width="9.140625" style="96"/>
    <col min="11777" max="11777" width="10.42578125" style="96" customWidth="1"/>
    <col min="11778" max="11778" width="70.28515625" style="96" customWidth="1"/>
    <col min="11779" max="11779" width="11.5703125" style="96" bestFit="1" customWidth="1"/>
    <col min="11780" max="11780" width="12.140625" style="96" customWidth="1"/>
    <col min="11781" max="11781" width="15.85546875" style="96" customWidth="1"/>
    <col min="11782" max="11782" width="19.140625" style="96" customWidth="1"/>
    <col min="11783" max="11783" width="18" style="96" customWidth="1"/>
    <col min="11784" max="11784" width="15.85546875" style="96" customWidth="1"/>
    <col min="11785" max="12032" width="9.140625" style="96"/>
    <col min="12033" max="12033" width="10.42578125" style="96" customWidth="1"/>
    <col min="12034" max="12034" width="70.28515625" style="96" customWidth="1"/>
    <col min="12035" max="12035" width="11.5703125" style="96" bestFit="1" customWidth="1"/>
    <col min="12036" max="12036" width="12.140625" style="96" customWidth="1"/>
    <col min="12037" max="12037" width="15.85546875" style="96" customWidth="1"/>
    <col min="12038" max="12038" width="19.140625" style="96" customWidth="1"/>
    <col min="12039" max="12039" width="18" style="96" customWidth="1"/>
    <col min="12040" max="12040" width="15.85546875" style="96" customWidth="1"/>
    <col min="12041" max="12288" width="9.140625" style="96"/>
    <col min="12289" max="12289" width="10.42578125" style="96" customWidth="1"/>
    <col min="12290" max="12290" width="70.28515625" style="96" customWidth="1"/>
    <col min="12291" max="12291" width="11.5703125" style="96" bestFit="1" customWidth="1"/>
    <col min="12292" max="12292" width="12.140625" style="96" customWidth="1"/>
    <col min="12293" max="12293" width="15.85546875" style="96" customWidth="1"/>
    <col min="12294" max="12294" width="19.140625" style="96" customWidth="1"/>
    <col min="12295" max="12295" width="18" style="96" customWidth="1"/>
    <col min="12296" max="12296" width="15.85546875" style="96" customWidth="1"/>
    <col min="12297" max="12544" width="9.140625" style="96"/>
    <col min="12545" max="12545" width="10.42578125" style="96" customWidth="1"/>
    <col min="12546" max="12546" width="70.28515625" style="96" customWidth="1"/>
    <col min="12547" max="12547" width="11.5703125" style="96" bestFit="1" customWidth="1"/>
    <col min="12548" max="12548" width="12.140625" style="96" customWidth="1"/>
    <col min="12549" max="12549" width="15.85546875" style="96" customWidth="1"/>
    <col min="12550" max="12550" width="19.140625" style="96" customWidth="1"/>
    <col min="12551" max="12551" width="18" style="96" customWidth="1"/>
    <col min="12552" max="12552" width="15.85546875" style="96" customWidth="1"/>
    <col min="12553" max="12800" width="9.140625" style="96"/>
    <col min="12801" max="12801" width="10.42578125" style="96" customWidth="1"/>
    <col min="12802" max="12802" width="70.28515625" style="96" customWidth="1"/>
    <col min="12803" max="12803" width="11.5703125" style="96" bestFit="1" customWidth="1"/>
    <col min="12804" max="12804" width="12.140625" style="96" customWidth="1"/>
    <col min="12805" max="12805" width="15.85546875" style="96" customWidth="1"/>
    <col min="12806" max="12806" width="19.140625" style="96" customWidth="1"/>
    <col min="12807" max="12807" width="18" style="96" customWidth="1"/>
    <col min="12808" max="12808" width="15.85546875" style="96" customWidth="1"/>
    <col min="12809" max="13056" width="9.140625" style="96"/>
    <col min="13057" max="13057" width="10.42578125" style="96" customWidth="1"/>
    <col min="13058" max="13058" width="70.28515625" style="96" customWidth="1"/>
    <col min="13059" max="13059" width="11.5703125" style="96" bestFit="1" customWidth="1"/>
    <col min="13060" max="13060" width="12.140625" style="96" customWidth="1"/>
    <col min="13061" max="13061" width="15.85546875" style="96" customWidth="1"/>
    <col min="13062" max="13062" width="19.140625" style="96" customWidth="1"/>
    <col min="13063" max="13063" width="18" style="96" customWidth="1"/>
    <col min="13064" max="13064" width="15.85546875" style="96" customWidth="1"/>
    <col min="13065" max="13312" width="9.140625" style="96"/>
    <col min="13313" max="13313" width="10.42578125" style="96" customWidth="1"/>
    <col min="13314" max="13314" width="70.28515625" style="96" customWidth="1"/>
    <col min="13315" max="13315" width="11.5703125" style="96" bestFit="1" customWidth="1"/>
    <col min="13316" max="13316" width="12.140625" style="96" customWidth="1"/>
    <col min="13317" max="13317" width="15.85546875" style="96" customWidth="1"/>
    <col min="13318" max="13318" width="19.140625" style="96" customWidth="1"/>
    <col min="13319" max="13319" width="18" style="96" customWidth="1"/>
    <col min="13320" max="13320" width="15.85546875" style="96" customWidth="1"/>
    <col min="13321" max="13568" width="9.140625" style="96"/>
    <col min="13569" max="13569" width="10.42578125" style="96" customWidth="1"/>
    <col min="13570" max="13570" width="70.28515625" style="96" customWidth="1"/>
    <col min="13571" max="13571" width="11.5703125" style="96" bestFit="1" customWidth="1"/>
    <col min="13572" max="13572" width="12.140625" style="96" customWidth="1"/>
    <col min="13573" max="13573" width="15.85546875" style="96" customWidth="1"/>
    <col min="13574" max="13574" width="19.140625" style="96" customWidth="1"/>
    <col min="13575" max="13575" width="18" style="96" customWidth="1"/>
    <col min="13576" max="13576" width="15.85546875" style="96" customWidth="1"/>
    <col min="13577" max="13824" width="9.140625" style="96"/>
    <col min="13825" max="13825" width="10.42578125" style="96" customWidth="1"/>
    <col min="13826" max="13826" width="70.28515625" style="96" customWidth="1"/>
    <col min="13827" max="13827" width="11.5703125" style="96" bestFit="1" customWidth="1"/>
    <col min="13828" max="13828" width="12.140625" style="96" customWidth="1"/>
    <col min="13829" max="13829" width="15.85546875" style="96" customWidth="1"/>
    <col min="13830" max="13830" width="19.140625" style="96" customWidth="1"/>
    <col min="13831" max="13831" width="18" style="96" customWidth="1"/>
    <col min="13832" max="13832" width="15.85546875" style="96" customWidth="1"/>
    <col min="13833" max="14080" width="9.140625" style="96"/>
    <col min="14081" max="14081" width="10.42578125" style="96" customWidth="1"/>
    <col min="14082" max="14082" width="70.28515625" style="96" customWidth="1"/>
    <col min="14083" max="14083" width="11.5703125" style="96" bestFit="1" customWidth="1"/>
    <col min="14084" max="14084" width="12.140625" style="96" customWidth="1"/>
    <col min="14085" max="14085" width="15.85546875" style="96" customWidth="1"/>
    <col min="14086" max="14086" width="19.140625" style="96" customWidth="1"/>
    <col min="14087" max="14087" width="18" style="96" customWidth="1"/>
    <col min="14088" max="14088" width="15.85546875" style="96" customWidth="1"/>
    <col min="14089" max="14336" width="9.140625" style="96"/>
    <col min="14337" max="14337" width="10.42578125" style="96" customWidth="1"/>
    <col min="14338" max="14338" width="70.28515625" style="96" customWidth="1"/>
    <col min="14339" max="14339" width="11.5703125" style="96" bestFit="1" customWidth="1"/>
    <col min="14340" max="14340" width="12.140625" style="96" customWidth="1"/>
    <col min="14341" max="14341" width="15.85546875" style="96" customWidth="1"/>
    <col min="14342" max="14342" width="19.140625" style="96" customWidth="1"/>
    <col min="14343" max="14343" width="18" style="96" customWidth="1"/>
    <col min="14344" max="14344" width="15.85546875" style="96" customWidth="1"/>
    <col min="14345" max="14592" width="9.140625" style="96"/>
    <col min="14593" max="14593" width="10.42578125" style="96" customWidth="1"/>
    <col min="14594" max="14594" width="70.28515625" style="96" customWidth="1"/>
    <col min="14595" max="14595" width="11.5703125" style="96" bestFit="1" customWidth="1"/>
    <col min="14596" max="14596" width="12.140625" style="96" customWidth="1"/>
    <col min="14597" max="14597" width="15.85546875" style="96" customWidth="1"/>
    <col min="14598" max="14598" width="19.140625" style="96" customWidth="1"/>
    <col min="14599" max="14599" width="18" style="96" customWidth="1"/>
    <col min="14600" max="14600" width="15.85546875" style="96" customWidth="1"/>
    <col min="14601" max="14848" width="9.140625" style="96"/>
    <col min="14849" max="14849" width="10.42578125" style="96" customWidth="1"/>
    <col min="14850" max="14850" width="70.28515625" style="96" customWidth="1"/>
    <col min="14851" max="14851" width="11.5703125" style="96" bestFit="1" customWidth="1"/>
    <col min="14852" max="14852" width="12.140625" style="96" customWidth="1"/>
    <col min="14853" max="14853" width="15.85546875" style="96" customWidth="1"/>
    <col min="14854" max="14854" width="19.140625" style="96" customWidth="1"/>
    <col min="14855" max="14855" width="18" style="96" customWidth="1"/>
    <col min="14856" max="14856" width="15.85546875" style="96" customWidth="1"/>
    <col min="14857" max="15104" width="9.140625" style="96"/>
    <col min="15105" max="15105" width="10.42578125" style="96" customWidth="1"/>
    <col min="15106" max="15106" width="70.28515625" style="96" customWidth="1"/>
    <col min="15107" max="15107" width="11.5703125" style="96" bestFit="1" customWidth="1"/>
    <col min="15108" max="15108" width="12.140625" style="96" customWidth="1"/>
    <col min="15109" max="15109" width="15.85546875" style="96" customWidth="1"/>
    <col min="15110" max="15110" width="19.140625" style="96" customWidth="1"/>
    <col min="15111" max="15111" width="18" style="96" customWidth="1"/>
    <col min="15112" max="15112" width="15.85546875" style="96" customWidth="1"/>
    <col min="15113" max="15360" width="9.140625" style="96"/>
    <col min="15361" max="15361" width="10.42578125" style="96" customWidth="1"/>
    <col min="15362" max="15362" width="70.28515625" style="96" customWidth="1"/>
    <col min="15363" max="15363" width="11.5703125" style="96" bestFit="1" customWidth="1"/>
    <col min="15364" max="15364" width="12.140625" style="96" customWidth="1"/>
    <col min="15365" max="15365" width="15.85546875" style="96" customWidth="1"/>
    <col min="15366" max="15366" width="19.140625" style="96" customWidth="1"/>
    <col min="15367" max="15367" width="18" style="96" customWidth="1"/>
    <col min="15368" max="15368" width="15.85546875" style="96" customWidth="1"/>
    <col min="15369" max="15616" width="9.140625" style="96"/>
    <col min="15617" max="15617" width="10.42578125" style="96" customWidth="1"/>
    <col min="15618" max="15618" width="70.28515625" style="96" customWidth="1"/>
    <col min="15619" max="15619" width="11.5703125" style="96" bestFit="1" customWidth="1"/>
    <col min="15620" max="15620" width="12.140625" style="96" customWidth="1"/>
    <col min="15621" max="15621" width="15.85546875" style="96" customWidth="1"/>
    <col min="15622" max="15622" width="19.140625" style="96" customWidth="1"/>
    <col min="15623" max="15623" width="18" style="96" customWidth="1"/>
    <col min="15624" max="15624" width="15.85546875" style="96" customWidth="1"/>
    <col min="15625" max="15872" width="9.140625" style="96"/>
    <col min="15873" max="15873" width="10.42578125" style="96" customWidth="1"/>
    <col min="15874" max="15874" width="70.28515625" style="96" customWidth="1"/>
    <col min="15875" max="15875" width="11.5703125" style="96" bestFit="1" customWidth="1"/>
    <col min="15876" max="15876" width="12.140625" style="96" customWidth="1"/>
    <col min="15877" max="15877" width="15.85546875" style="96" customWidth="1"/>
    <col min="15878" max="15878" width="19.140625" style="96" customWidth="1"/>
    <col min="15879" max="15879" width="18" style="96" customWidth="1"/>
    <col min="15880" max="15880" width="15.85546875" style="96" customWidth="1"/>
    <col min="15881" max="16128" width="9.140625" style="96"/>
    <col min="16129" max="16129" width="10.42578125" style="96" customWidth="1"/>
    <col min="16130" max="16130" width="70.28515625" style="96" customWidth="1"/>
    <col min="16131" max="16131" width="11.5703125" style="96" bestFit="1" customWidth="1"/>
    <col min="16132" max="16132" width="12.140625" style="96" customWidth="1"/>
    <col min="16133" max="16133" width="15.85546875" style="96" customWidth="1"/>
    <col min="16134" max="16134" width="19.140625" style="96" customWidth="1"/>
    <col min="16135" max="16135" width="18" style="96" customWidth="1"/>
    <col min="16136" max="16136" width="15.85546875" style="96" customWidth="1"/>
    <col min="16137" max="16384" width="9.140625" style="96"/>
  </cols>
  <sheetData>
    <row r="1" spans="1:8" s="125" customFormat="1" ht="15" x14ac:dyDescent="0.25">
      <c r="A1" s="497" t="s">
        <v>302</v>
      </c>
      <c r="B1" s="497"/>
      <c r="C1" s="497"/>
      <c r="D1" s="497"/>
      <c r="E1" s="497"/>
      <c r="F1" s="497"/>
      <c r="G1" s="497"/>
      <c r="H1" s="497"/>
    </row>
    <row r="2" spans="1:8" ht="15" x14ac:dyDescent="0.2">
      <c r="A2" s="482" t="s">
        <v>303</v>
      </c>
      <c r="B2" s="482" t="s">
        <v>225</v>
      </c>
      <c r="C2" s="482" t="s">
        <v>304</v>
      </c>
      <c r="D2" s="482" t="s">
        <v>305</v>
      </c>
      <c r="E2" s="482" t="s">
        <v>36</v>
      </c>
      <c r="F2" s="482"/>
      <c r="G2" s="482"/>
      <c r="H2" s="482"/>
    </row>
    <row r="3" spans="1:8" ht="60" x14ac:dyDescent="0.2">
      <c r="A3" s="482"/>
      <c r="B3" s="482"/>
      <c r="C3" s="482"/>
      <c r="D3" s="482"/>
      <c r="E3" s="154" t="s">
        <v>306</v>
      </c>
      <c r="F3" s="154" t="s">
        <v>307</v>
      </c>
      <c r="G3" s="154" t="s">
        <v>308</v>
      </c>
      <c r="H3" s="154" t="s">
        <v>232</v>
      </c>
    </row>
    <row r="4" spans="1:8" ht="15" x14ac:dyDescent="0.2">
      <c r="A4" s="154">
        <v>1</v>
      </c>
      <c r="B4" s="154">
        <v>2</v>
      </c>
      <c r="C4" s="154">
        <v>3</v>
      </c>
      <c r="D4" s="154">
        <v>4</v>
      </c>
      <c r="E4" s="154">
        <v>5</v>
      </c>
      <c r="F4" s="154">
        <v>6</v>
      </c>
      <c r="G4" s="154">
        <v>7</v>
      </c>
      <c r="H4" s="154">
        <v>8</v>
      </c>
    </row>
    <row r="5" spans="1:8" ht="15" x14ac:dyDescent="0.2">
      <c r="A5" s="154">
        <v>1</v>
      </c>
      <c r="B5" s="155" t="s">
        <v>309</v>
      </c>
      <c r="C5" s="154">
        <v>26000</v>
      </c>
      <c r="D5" s="154" t="s">
        <v>234</v>
      </c>
      <c r="E5" s="156">
        <f>E6+E8+E9+E10</f>
        <v>13887593.963000001</v>
      </c>
      <c r="F5" s="156">
        <f t="shared" ref="F5:H5" si="0">F6+F8+F9+F10</f>
        <v>13130900</v>
      </c>
      <c r="G5" s="156">
        <f>F5</f>
        <v>13130900</v>
      </c>
      <c r="H5" s="156">
        <f t="shared" si="0"/>
        <v>0</v>
      </c>
    </row>
    <row r="6" spans="1:8" ht="15" x14ac:dyDescent="0.2">
      <c r="A6" s="482" t="s">
        <v>310</v>
      </c>
      <c r="B6" s="160" t="s">
        <v>237</v>
      </c>
      <c r="C6" s="482">
        <v>26100</v>
      </c>
      <c r="D6" s="482" t="s">
        <v>234</v>
      </c>
      <c r="E6" s="484"/>
      <c r="F6" s="484"/>
      <c r="G6" s="484"/>
      <c r="H6" s="484"/>
    </row>
    <row r="7" spans="1:8" ht="126" customHeight="1" x14ac:dyDescent="0.2">
      <c r="A7" s="482"/>
      <c r="B7" s="160" t="s">
        <v>311</v>
      </c>
      <c r="C7" s="482"/>
      <c r="D7" s="482"/>
      <c r="E7" s="484"/>
      <c r="F7" s="484"/>
      <c r="G7" s="484"/>
      <c r="H7" s="484"/>
    </row>
    <row r="8" spans="1:8" ht="45" x14ac:dyDescent="0.2">
      <c r="A8" s="154" t="s">
        <v>312</v>
      </c>
      <c r="B8" s="160" t="s">
        <v>313</v>
      </c>
      <c r="C8" s="154">
        <v>26200</v>
      </c>
      <c r="D8" s="154" t="s">
        <v>234</v>
      </c>
      <c r="E8" s="156"/>
      <c r="F8" s="156"/>
      <c r="G8" s="156"/>
      <c r="H8" s="156"/>
    </row>
    <row r="9" spans="1:8" ht="45" x14ac:dyDescent="0.2">
      <c r="A9" s="154" t="s">
        <v>314</v>
      </c>
      <c r="B9" s="160" t="s">
        <v>315</v>
      </c>
      <c r="C9" s="154">
        <v>26300</v>
      </c>
      <c r="D9" s="154" t="s">
        <v>234</v>
      </c>
      <c r="E9" s="156"/>
      <c r="F9" s="156"/>
      <c r="G9" s="156"/>
      <c r="H9" s="156"/>
    </row>
    <row r="10" spans="1:8" ht="45" x14ac:dyDescent="0.2">
      <c r="A10" s="154" t="s">
        <v>316</v>
      </c>
      <c r="B10" s="160" t="s">
        <v>317</v>
      </c>
      <c r="C10" s="154">
        <v>26400</v>
      </c>
      <c r="D10" s="154" t="s">
        <v>234</v>
      </c>
      <c r="E10" s="156">
        <f>'Раздел 1'!E70</f>
        <v>13887593.963000001</v>
      </c>
      <c r="F10" s="156">
        <f>'Раздел 1'!F70</f>
        <v>13130900</v>
      </c>
      <c r="G10" s="156">
        <f>F10</f>
        <v>13130900</v>
      </c>
      <c r="H10" s="156"/>
    </row>
    <row r="11" spans="1:8" ht="15" x14ac:dyDescent="0.2">
      <c r="A11" s="496" t="s">
        <v>318</v>
      </c>
      <c r="B11" s="161" t="s">
        <v>237</v>
      </c>
      <c r="C11" s="482">
        <v>26410</v>
      </c>
      <c r="D11" s="482" t="s">
        <v>234</v>
      </c>
      <c r="E11" s="484">
        <f>E13</f>
        <v>2703125.1829999997</v>
      </c>
      <c r="F11" s="484">
        <f>F13</f>
        <v>2222000</v>
      </c>
      <c r="G11" s="484">
        <f>F11</f>
        <v>2222000</v>
      </c>
      <c r="H11" s="484">
        <f t="shared" ref="H11" si="1">H13</f>
        <v>0</v>
      </c>
    </row>
    <row r="12" spans="1:8" ht="30" x14ac:dyDescent="0.2">
      <c r="A12" s="496"/>
      <c r="B12" s="161" t="s">
        <v>319</v>
      </c>
      <c r="C12" s="482"/>
      <c r="D12" s="482"/>
      <c r="E12" s="484"/>
      <c r="F12" s="484"/>
      <c r="G12" s="484"/>
      <c r="H12" s="484"/>
    </row>
    <row r="13" spans="1:8" ht="15" x14ac:dyDescent="0.2">
      <c r="A13" s="482" t="s">
        <v>320</v>
      </c>
      <c r="B13" s="166" t="s">
        <v>237</v>
      </c>
      <c r="C13" s="482">
        <v>26411</v>
      </c>
      <c r="D13" s="482" t="s">
        <v>234</v>
      </c>
      <c r="E13" s="484">
        <f>'Раздел 3 (новый) '!G15+'Раздел 3 (новый) '!G56</f>
        <v>2703125.1829999997</v>
      </c>
      <c r="F13" s="484">
        <f>'Раздел 1'!F12-'Раздел 1'!F35-'Раздел 1'!F40-'Раздел 1'!F59</f>
        <v>2222000</v>
      </c>
      <c r="G13" s="484">
        <f>F13</f>
        <v>2222000</v>
      </c>
      <c r="H13" s="484"/>
    </row>
    <row r="14" spans="1:8" x14ac:dyDescent="0.2">
      <c r="A14" s="482"/>
      <c r="B14" s="171" t="s">
        <v>321</v>
      </c>
      <c r="C14" s="482"/>
      <c r="D14" s="482"/>
      <c r="E14" s="484"/>
      <c r="F14" s="484"/>
      <c r="G14" s="484"/>
      <c r="H14" s="484"/>
    </row>
    <row r="15" spans="1:8" ht="15" x14ac:dyDescent="0.2">
      <c r="A15" s="154" t="s">
        <v>322</v>
      </c>
      <c r="B15" s="166" t="s">
        <v>323</v>
      </c>
      <c r="C15" s="154">
        <v>26412</v>
      </c>
      <c r="D15" s="154" t="s">
        <v>234</v>
      </c>
      <c r="E15" s="156"/>
      <c r="F15" s="156"/>
      <c r="G15" s="156"/>
      <c r="H15" s="156"/>
    </row>
    <row r="16" spans="1:8" ht="25.5" x14ac:dyDescent="0.2">
      <c r="A16" s="154" t="s">
        <v>324</v>
      </c>
      <c r="B16" s="167" t="s">
        <v>325</v>
      </c>
      <c r="C16" s="154">
        <v>26420</v>
      </c>
      <c r="D16" s="154" t="s">
        <v>234</v>
      </c>
      <c r="E16" s="156"/>
      <c r="F16" s="156"/>
      <c r="G16" s="156"/>
      <c r="H16" s="156"/>
    </row>
    <row r="17" spans="1:8" ht="15" x14ac:dyDescent="0.2">
      <c r="A17" s="482" t="s">
        <v>326</v>
      </c>
      <c r="B17" s="166" t="s">
        <v>237</v>
      </c>
      <c r="C17" s="482">
        <v>26421</v>
      </c>
      <c r="D17" s="482" t="s">
        <v>234</v>
      </c>
      <c r="E17" s="484"/>
      <c r="F17" s="484"/>
      <c r="G17" s="484"/>
      <c r="H17" s="484"/>
    </row>
    <row r="18" spans="1:8" x14ac:dyDescent="0.2">
      <c r="A18" s="482"/>
      <c r="B18" s="171" t="s">
        <v>321</v>
      </c>
      <c r="C18" s="482"/>
      <c r="D18" s="482"/>
      <c r="E18" s="484"/>
      <c r="F18" s="484"/>
      <c r="G18" s="484"/>
      <c r="H18" s="484"/>
    </row>
    <row r="19" spans="1:8" ht="15" x14ac:dyDescent="0.2">
      <c r="A19" s="154" t="s">
        <v>327</v>
      </c>
      <c r="B19" s="166" t="s">
        <v>323</v>
      </c>
      <c r="C19" s="154">
        <v>26422</v>
      </c>
      <c r="D19" s="154" t="s">
        <v>234</v>
      </c>
      <c r="E19" s="156"/>
      <c r="F19" s="156"/>
      <c r="G19" s="156"/>
      <c r="H19" s="156"/>
    </row>
    <row r="20" spans="1:8" ht="15" x14ac:dyDescent="0.2">
      <c r="A20" s="154" t="s">
        <v>328</v>
      </c>
      <c r="B20" s="167" t="s">
        <v>329</v>
      </c>
      <c r="C20" s="154">
        <v>26430</v>
      </c>
      <c r="D20" s="154" t="s">
        <v>234</v>
      </c>
      <c r="E20" s="156"/>
      <c r="F20" s="156"/>
      <c r="G20" s="156"/>
      <c r="H20" s="156"/>
    </row>
    <row r="21" spans="1:8" ht="15" x14ac:dyDescent="0.2">
      <c r="A21" s="154" t="s">
        <v>330</v>
      </c>
      <c r="B21" s="161" t="s">
        <v>331</v>
      </c>
      <c r="C21" s="154">
        <v>26440</v>
      </c>
      <c r="D21" s="154" t="s">
        <v>234</v>
      </c>
      <c r="E21" s="156"/>
      <c r="F21" s="156"/>
      <c r="G21" s="156"/>
      <c r="H21" s="156"/>
    </row>
    <row r="22" spans="1:8" ht="15" x14ac:dyDescent="0.2">
      <c r="A22" s="482" t="s">
        <v>332</v>
      </c>
      <c r="B22" s="166" t="s">
        <v>237</v>
      </c>
      <c r="C22" s="482">
        <v>26441</v>
      </c>
      <c r="D22" s="482" t="s">
        <v>234</v>
      </c>
      <c r="E22" s="484"/>
      <c r="F22" s="484"/>
      <c r="G22" s="484"/>
      <c r="H22" s="484"/>
    </row>
    <row r="23" spans="1:8" x14ac:dyDescent="0.2">
      <c r="A23" s="482"/>
      <c r="B23" s="171" t="s">
        <v>321</v>
      </c>
      <c r="C23" s="482"/>
      <c r="D23" s="482"/>
      <c r="E23" s="484"/>
      <c r="F23" s="484"/>
      <c r="G23" s="484"/>
      <c r="H23" s="484"/>
    </row>
    <row r="24" spans="1:8" ht="15" x14ac:dyDescent="0.2">
      <c r="A24" s="154" t="s">
        <v>333</v>
      </c>
      <c r="B24" s="166" t="s">
        <v>323</v>
      </c>
      <c r="C24" s="154">
        <v>26442</v>
      </c>
      <c r="D24" s="154" t="s">
        <v>234</v>
      </c>
      <c r="E24" s="156"/>
      <c r="F24" s="156"/>
      <c r="G24" s="156"/>
      <c r="H24" s="156"/>
    </row>
    <row r="25" spans="1:8" ht="15" x14ac:dyDescent="0.2">
      <c r="A25" s="154" t="s">
        <v>334</v>
      </c>
      <c r="B25" s="161" t="s">
        <v>335</v>
      </c>
      <c r="C25" s="154">
        <v>26450</v>
      </c>
      <c r="D25" s="154" t="s">
        <v>234</v>
      </c>
      <c r="E25" s="156"/>
      <c r="F25" s="156"/>
      <c r="G25" s="156"/>
      <c r="H25" s="156"/>
    </row>
    <row r="26" spans="1:8" ht="15" x14ac:dyDescent="0.2">
      <c r="A26" s="482" t="s">
        <v>336</v>
      </c>
      <c r="B26" s="166" t="s">
        <v>237</v>
      </c>
      <c r="C26" s="482">
        <v>26451</v>
      </c>
      <c r="D26" s="482" t="s">
        <v>234</v>
      </c>
      <c r="E26" s="484"/>
      <c r="F26" s="484"/>
      <c r="G26" s="484"/>
      <c r="H26" s="484"/>
    </row>
    <row r="27" spans="1:8" x14ac:dyDescent="0.2">
      <c r="A27" s="482"/>
      <c r="B27" s="171" t="s">
        <v>321</v>
      </c>
      <c r="C27" s="482"/>
      <c r="D27" s="482"/>
      <c r="E27" s="484"/>
      <c r="F27" s="484"/>
      <c r="G27" s="484"/>
      <c r="H27" s="484"/>
    </row>
    <row r="28" spans="1:8" ht="15" x14ac:dyDescent="0.2">
      <c r="A28" s="154" t="s">
        <v>337</v>
      </c>
      <c r="B28" s="171" t="s">
        <v>338</v>
      </c>
      <c r="C28" s="154">
        <v>26452</v>
      </c>
      <c r="D28" s="154" t="s">
        <v>234</v>
      </c>
      <c r="E28" s="156"/>
      <c r="F28" s="156"/>
      <c r="G28" s="156"/>
      <c r="H28" s="156"/>
    </row>
    <row r="29" spans="1:8" ht="45" x14ac:dyDescent="0.2">
      <c r="A29" s="154">
        <v>2</v>
      </c>
      <c r="B29" s="162" t="s">
        <v>339</v>
      </c>
      <c r="C29" s="154">
        <v>26500</v>
      </c>
      <c r="D29" s="154" t="s">
        <v>234</v>
      </c>
      <c r="E29" s="156">
        <f>E30</f>
        <v>13887593.963000001</v>
      </c>
      <c r="F29" s="156">
        <f t="shared" ref="F29:H29" si="2">F30</f>
        <v>13130900</v>
      </c>
      <c r="G29" s="156">
        <f>F29</f>
        <v>13130900</v>
      </c>
      <c r="H29" s="156">
        <f t="shared" si="2"/>
        <v>0</v>
      </c>
    </row>
    <row r="30" spans="1:8" ht="15" x14ac:dyDescent="0.2">
      <c r="A30" s="162"/>
      <c r="B30" s="154" t="s">
        <v>340</v>
      </c>
      <c r="C30" s="154">
        <v>26510</v>
      </c>
      <c r="D30" s="162"/>
      <c r="E30" s="156">
        <f>E10</f>
        <v>13887593.963000001</v>
      </c>
      <c r="F30" s="156">
        <f t="shared" ref="F30:H30" si="3">F10</f>
        <v>13130900</v>
      </c>
      <c r="G30" s="156">
        <f>F30</f>
        <v>13130900</v>
      </c>
      <c r="H30" s="156">
        <f t="shared" si="3"/>
        <v>0</v>
      </c>
    </row>
    <row r="31" spans="1:8" ht="25.5" x14ac:dyDescent="0.2">
      <c r="A31" s="154">
        <v>3</v>
      </c>
      <c r="B31" s="155" t="s">
        <v>341</v>
      </c>
      <c r="C31" s="154">
        <v>26600</v>
      </c>
      <c r="D31" s="154" t="s">
        <v>234</v>
      </c>
      <c r="E31" s="156"/>
      <c r="F31" s="156"/>
      <c r="G31" s="156"/>
      <c r="H31" s="156"/>
    </row>
    <row r="32" spans="1:8" ht="15" x14ac:dyDescent="0.2">
      <c r="A32" s="162"/>
      <c r="B32" s="154" t="s">
        <v>340</v>
      </c>
      <c r="C32" s="154">
        <v>26610</v>
      </c>
      <c r="D32" s="162"/>
      <c r="E32" s="156"/>
      <c r="F32" s="156"/>
      <c r="G32" s="156"/>
      <c r="H32" s="156"/>
    </row>
    <row r="33" spans="1:8" ht="15.75" x14ac:dyDescent="0.2">
      <c r="A33" s="172"/>
    </row>
    <row r="34" spans="1:8" s="125" customFormat="1" ht="15" x14ac:dyDescent="0.25">
      <c r="A34" s="173" t="s">
        <v>342</v>
      </c>
      <c r="B34" s="173"/>
      <c r="C34" s="494" t="s">
        <v>192</v>
      </c>
      <c r="D34" s="494"/>
      <c r="E34" s="494"/>
      <c r="F34" s="174"/>
      <c r="G34" s="494" t="s">
        <v>792</v>
      </c>
      <c r="H34" s="494"/>
    </row>
    <row r="35" spans="1:8" x14ac:dyDescent="0.2">
      <c r="A35" s="175"/>
      <c r="B35" s="175"/>
      <c r="C35" s="495" t="s">
        <v>194</v>
      </c>
      <c r="D35" s="495"/>
      <c r="E35" s="495"/>
      <c r="F35" s="95" t="s">
        <v>295</v>
      </c>
      <c r="G35" s="490" t="s">
        <v>296</v>
      </c>
      <c r="H35" s="490"/>
    </row>
    <row r="36" spans="1:8" s="125" customFormat="1" ht="15" x14ac:dyDescent="0.25">
      <c r="A36" s="170"/>
    </row>
    <row r="37" spans="1:8" s="125" customFormat="1" ht="15" x14ac:dyDescent="0.25">
      <c r="A37" s="173" t="s">
        <v>343</v>
      </c>
      <c r="B37" s="173"/>
      <c r="C37" s="494" t="s">
        <v>192</v>
      </c>
      <c r="D37" s="494"/>
      <c r="E37" s="494"/>
      <c r="F37" s="494"/>
      <c r="G37" s="494" t="str">
        <f>G34</f>
        <v>Т.Б. Паюсова</v>
      </c>
      <c r="H37" s="494"/>
    </row>
    <row r="38" spans="1:8" s="125" customFormat="1" ht="15" x14ac:dyDescent="0.25">
      <c r="A38" s="173"/>
      <c r="B38" s="173"/>
      <c r="C38" s="489" t="s">
        <v>194</v>
      </c>
      <c r="D38" s="489"/>
      <c r="E38" s="489" t="s">
        <v>344</v>
      </c>
      <c r="F38" s="489"/>
      <c r="G38" s="490" t="s">
        <v>345</v>
      </c>
      <c r="H38" s="490"/>
    </row>
    <row r="39" spans="1:8" s="125" customFormat="1" ht="15" x14ac:dyDescent="0.25">
      <c r="A39" s="170"/>
    </row>
    <row r="40" spans="1:8" s="125" customFormat="1" ht="15" x14ac:dyDescent="0.25">
      <c r="A40" s="173" t="s">
        <v>346</v>
      </c>
      <c r="B40" s="173"/>
      <c r="C40" s="173"/>
      <c r="D40" s="173"/>
      <c r="E40" s="173"/>
      <c r="F40" s="173"/>
    </row>
    <row r="41" spans="1:8" s="125" customFormat="1" ht="15.75" thickBot="1" x14ac:dyDescent="0.3">
      <c r="A41" s="176"/>
    </row>
    <row r="42" spans="1:8" s="180" customFormat="1" ht="13.5" customHeight="1" x14ac:dyDescent="0.2">
      <c r="A42" s="177"/>
      <c r="B42" s="178"/>
      <c r="C42" s="179"/>
    </row>
    <row r="43" spans="1:8" s="180" customFormat="1" ht="15.75" x14ac:dyDescent="0.25">
      <c r="A43" s="181" t="s">
        <v>347</v>
      </c>
      <c r="C43" s="182"/>
    </row>
    <row r="44" spans="1:8" s="180" customFormat="1" x14ac:dyDescent="0.2">
      <c r="A44" s="183"/>
      <c r="B44" s="184"/>
      <c r="C44" s="185"/>
    </row>
    <row r="45" spans="1:8" s="180" customFormat="1" x14ac:dyDescent="0.2">
      <c r="A45" s="491" t="s">
        <v>348</v>
      </c>
      <c r="B45" s="492"/>
      <c r="C45" s="493"/>
    </row>
    <row r="46" spans="1:8" s="180" customFormat="1" ht="6" customHeight="1" x14ac:dyDescent="0.2">
      <c r="A46" s="186"/>
      <c r="B46" s="187"/>
      <c r="C46" s="188"/>
    </row>
    <row r="47" spans="1:8" s="180" customFormat="1" x14ac:dyDescent="0.2">
      <c r="A47" s="183"/>
      <c r="B47" s="184"/>
      <c r="C47" s="185"/>
    </row>
    <row r="48" spans="1:8" s="180" customFormat="1" x14ac:dyDescent="0.2">
      <c r="A48" s="189" t="s">
        <v>295</v>
      </c>
      <c r="B48" s="492" t="s">
        <v>296</v>
      </c>
      <c r="C48" s="493"/>
    </row>
    <row r="49" spans="1:3" s="180" customFormat="1" x14ac:dyDescent="0.2">
      <c r="A49" s="190"/>
      <c r="C49" s="182"/>
    </row>
    <row r="50" spans="1:3" s="180" customFormat="1" x14ac:dyDescent="0.2">
      <c r="A50" s="191" t="s">
        <v>349</v>
      </c>
      <c r="B50" s="192" t="s">
        <v>350</v>
      </c>
      <c r="C50" s="182"/>
    </row>
    <row r="51" spans="1:3" s="180" customFormat="1" ht="3" customHeight="1" thickBot="1" x14ac:dyDescent="0.25">
      <c r="A51" s="193"/>
      <c r="B51" s="194"/>
      <c r="C51" s="195"/>
    </row>
  </sheetData>
  <mergeCells count="60">
    <mergeCell ref="A1:H1"/>
    <mergeCell ref="A2:A3"/>
    <mergeCell ref="B2:B3"/>
    <mergeCell ref="C2:C3"/>
    <mergeCell ref="D2:D3"/>
    <mergeCell ref="E2:H2"/>
    <mergeCell ref="H6:H7"/>
    <mergeCell ref="A11:A12"/>
    <mergeCell ref="C11:C12"/>
    <mergeCell ref="D11:D12"/>
    <mergeCell ref="E11:E12"/>
    <mergeCell ref="F11:F12"/>
    <mergeCell ref="G11:G12"/>
    <mergeCell ref="H11:H12"/>
    <mergeCell ref="A6:A7"/>
    <mergeCell ref="C6:C7"/>
    <mergeCell ref="D6:D7"/>
    <mergeCell ref="E6:E7"/>
    <mergeCell ref="F6:F7"/>
    <mergeCell ref="G6:G7"/>
    <mergeCell ref="H13:H14"/>
    <mergeCell ref="A17:A18"/>
    <mergeCell ref="C17:C18"/>
    <mergeCell ref="D17:D18"/>
    <mergeCell ref="E17:E18"/>
    <mergeCell ref="F17:F18"/>
    <mergeCell ref="G17:G18"/>
    <mergeCell ref="H17:H18"/>
    <mergeCell ref="A13:A14"/>
    <mergeCell ref="C13:C14"/>
    <mergeCell ref="D13:D14"/>
    <mergeCell ref="E13:E14"/>
    <mergeCell ref="F13:F14"/>
    <mergeCell ref="G13:G14"/>
    <mergeCell ref="H22:H23"/>
    <mergeCell ref="A26:A27"/>
    <mergeCell ref="C26:C27"/>
    <mergeCell ref="D26:D27"/>
    <mergeCell ref="E26:E27"/>
    <mergeCell ref="F26:F27"/>
    <mergeCell ref="G26:G27"/>
    <mergeCell ref="H26:H27"/>
    <mergeCell ref="A22:A23"/>
    <mergeCell ref="C22:C23"/>
    <mergeCell ref="D22:D23"/>
    <mergeCell ref="E22:E23"/>
    <mergeCell ref="F22:F23"/>
    <mergeCell ref="G22:G23"/>
    <mergeCell ref="C34:E34"/>
    <mergeCell ref="G34:H34"/>
    <mergeCell ref="C35:E35"/>
    <mergeCell ref="G35:H35"/>
    <mergeCell ref="C37:D37"/>
    <mergeCell ref="E37:F37"/>
    <mergeCell ref="G37:H37"/>
    <mergeCell ref="C38:D38"/>
    <mergeCell ref="E38:F38"/>
    <mergeCell ref="G38:H38"/>
    <mergeCell ref="A45:C45"/>
    <mergeCell ref="B48:C48"/>
  </mergeCells>
  <hyperlinks>
    <hyperlink ref="A1" location="Par227" display="Par227"/>
    <hyperlink ref="B5" location="Par228" display="Par228"/>
    <hyperlink ref="B14" r:id="rId1" display="consultantplus://offline/ref=1460F08528B62F4BA0D53473343AEAC1B2A180FEF5A24C17E72BD441B6978A3EF2248B8EC6598595E167900FC4aDkCL"/>
    <hyperlink ref="B16" r:id="rId2" display="consultantplus://offline/ref=1460F08528B62F4BA0D53473343AEAC1B2A082FAF9AB4C17E72BD441B6978A3EE024D380C5559D9FB728D65AC8D7C0431BB269398E21a9k5L"/>
    <hyperlink ref="B18" r:id="rId3" display="consultantplus://offline/ref=1460F08528B62F4BA0D53473343AEAC1B2A180FEF5A24C17E72BD441B6978A3EF2248B8EC6598595E167900FC4aDkCL"/>
    <hyperlink ref="B20" location="Par232" display="Par232"/>
    <hyperlink ref="B23" r:id="rId4" display="consultantplus://offline/ref=1460F08528B62F4BA0D53473343AEAC1B2A180FEF5A24C17E72BD441B6978A3EF2248B8EC6598595E167900FC4aDkCL"/>
    <hyperlink ref="B27" r:id="rId5" display="consultantplus://offline/ref=1460F08528B62F4BA0D53473343AEAC1B2A180FEF5A24C17E72BD441B6978A3EF2248B8EC6598595E167900FC4aDkCL"/>
    <hyperlink ref="B28" r:id="rId6" display="consultantplus://offline/ref=1460F08528B62F4BA0D53473343AEAC1B2A084FAF9AE4C17E72BD441B6978A3EF2248B8EC6598595E167900FC4aDkCL"/>
    <hyperlink ref="B31" r:id="rId7" display="consultantplus://offline/ref=1460F08528B62F4BA0D53473343AEAC1B2A084FAF9AE4C17E72BD441B6978A3EF2248B8EC6598595E167900FC4aDkCL"/>
  </hyperlinks>
  <pageMargins left="0.70866141732283472" right="0.70866141732283472" top="0.74803149606299213" bottom="0.74803149606299213" header="0.31496062992125984" footer="0.31496062992125984"/>
  <pageSetup paperSize="9" scale="72" orientation="landscape" verticalDpi="0"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68"/>
  <sheetViews>
    <sheetView view="pageBreakPreview" zoomScaleNormal="100" zoomScaleSheetLayoutView="100" workbookViewId="0">
      <pane xSplit="2" ySplit="6" topLeftCell="C10" activePane="bottomRight" state="frozen"/>
      <selection activeCell="A27" sqref="A27:BY27"/>
      <selection pane="topRight" activeCell="A27" sqref="A27:BY27"/>
      <selection pane="bottomLeft" activeCell="A27" sqref="A27:BY27"/>
      <selection pane="bottomRight" activeCell="C31" sqref="C31"/>
    </sheetView>
  </sheetViews>
  <sheetFormatPr defaultRowHeight="12.75" x14ac:dyDescent="0.25"/>
  <cols>
    <col min="1" max="1" width="5.28515625" style="175" bestFit="1" customWidth="1"/>
    <col min="2" max="2" width="40.140625" style="175" customWidth="1"/>
    <col min="3" max="3" width="10.5703125" style="175" customWidth="1"/>
    <col min="4" max="4" width="12.7109375" style="95" customWidth="1"/>
    <col min="5" max="5" width="15.85546875" style="197" bestFit="1" customWidth="1"/>
    <col min="6" max="8" width="12.85546875" style="175" customWidth="1"/>
    <col min="9" max="9" width="12.85546875" style="198" customWidth="1"/>
    <col min="10" max="10" width="9.28515625" style="175" hidden="1" customWidth="1"/>
    <col min="11" max="11" width="12.7109375" style="175" customWidth="1"/>
    <col min="12" max="12" width="13" style="198" customWidth="1"/>
    <col min="13" max="13" width="12" style="175" hidden="1" customWidth="1"/>
    <col min="14" max="20" width="13.28515625" style="175" customWidth="1"/>
    <col min="21" max="21" width="11.85546875" style="175" customWidth="1"/>
    <col min="22" max="22" width="13.28515625" style="175" customWidth="1"/>
    <col min="23" max="23" width="11.85546875" style="175" customWidth="1"/>
    <col min="24" max="24" width="13.28515625" style="175" customWidth="1"/>
    <col min="25" max="27" width="11.85546875" style="175" customWidth="1"/>
    <col min="28" max="28" width="13.42578125" style="197" bestFit="1" customWidth="1"/>
    <col min="29" max="267" width="9.140625" style="175"/>
    <col min="268" max="268" width="8.85546875" style="175" customWidth="1"/>
    <col min="269" max="269" width="37.5703125" style="175" customWidth="1"/>
    <col min="270" max="270" width="10.5703125" style="175" customWidth="1"/>
    <col min="271" max="271" width="14" style="175" customWidth="1"/>
    <col min="272" max="272" width="15.85546875" style="175" bestFit="1" customWidth="1"/>
    <col min="273" max="273" width="10.85546875" style="175" bestFit="1" customWidth="1"/>
    <col min="274" max="274" width="12.140625" style="175" customWidth="1"/>
    <col min="275" max="275" width="11.85546875" style="175" customWidth="1"/>
    <col min="276" max="276" width="10.85546875" style="175" bestFit="1" customWidth="1"/>
    <col min="277" max="277" width="9.140625" style="175"/>
    <col min="278" max="278" width="12.7109375" style="175" customWidth="1"/>
    <col min="279" max="279" width="11.7109375" style="175" customWidth="1"/>
    <col min="280" max="280" width="12" style="175" customWidth="1"/>
    <col min="281" max="281" width="11.85546875" style="175" customWidth="1"/>
    <col min="282" max="283" width="13.28515625" style="175" customWidth="1"/>
    <col min="284" max="523" width="9.140625" style="175"/>
    <col min="524" max="524" width="8.85546875" style="175" customWidth="1"/>
    <col min="525" max="525" width="37.5703125" style="175" customWidth="1"/>
    <col min="526" max="526" width="10.5703125" style="175" customWidth="1"/>
    <col min="527" max="527" width="14" style="175" customWidth="1"/>
    <col min="528" max="528" width="15.85546875" style="175" bestFit="1" customWidth="1"/>
    <col min="529" max="529" width="10.85546875" style="175" bestFit="1" customWidth="1"/>
    <col min="530" max="530" width="12.140625" style="175" customWidth="1"/>
    <col min="531" max="531" width="11.85546875" style="175" customWidth="1"/>
    <col min="532" max="532" width="10.85546875" style="175" bestFit="1" customWidth="1"/>
    <col min="533" max="533" width="9.140625" style="175"/>
    <col min="534" max="534" width="12.7109375" style="175" customWidth="1"/>
    <col min="535" max="535" width="11.7109375" style="175" customWidth="1"/>
    <col min="536" max="536" width="12" style="175" customWidth="1"/>
    <col min="537" max="537" width="11.85546875" style="175" customWidth="1"/>
    <col min="538" max="539" width="13.28515625" style="175" customWidth="1"/>
    <col min="540" max="779" width="9.140625" style="175"/>
    <col min="780" max="780" width="8.85546875" style="175" customWidth="1"/>
    <col min="781" max="781" width="37.5703125" style="175" customWidth="1"/>
    <col min="782" max="782" width="10.5703125" style="175" customWidth="1"/>
    <col min="783" max="783" width="14" style="175" customWidth="1"/>
    <col min="784" max="784" width="15.85546875" style="175" bestFit="1" customWidth="1"/>
    <col min="785" max="785" width="10.85546875" style="175" bestFit="1" customWidth="1"/>
    <col min="786" max="786" width="12.140625" style="175" customWidth="1"/>
    <col min="787" max="787" width="11.85546875" style="175" customWidth="1"/>
    <col min="788" max="788" width="10.85546875" style="175" bestFit="1" customWidth="1"/>
    <col min="789" max="789" width="9.140625" style="175"/>
    <col min="790" max="790" width="12.7109375" style="175" customWidth="1"/>
    <col min="791" max="791" width="11.7109375" style="175" customWidth="1"/>
    <col min="792" max="792" width="12" style="175" customWidth="1"/>
    <col min="793" max="793" width="11.85546875" style="175" customWidth="1"/>
    <col min="794" max="795" width="13.28515625" style="175" customWidth="1"/>
    <col min="796" max="1035" width="9.140625" style="175"/>
    <col min="1036" max="1036" width="8.85546875" style="175" customWidth="1"/>
    <col min="1037" max="1037" width="37.5703125" style="175" customWidth="1"/>
    <col min="1038" max="1038" width="10.5703125" style="175" customWidth="1"/>
    <col min="1039" max="1039" width="14" style="175" customWidth="1"/>
    <col min="1040" max="1040" width="15.85546875" style="175" bestFit="1" customWidth="1"/>
    <col min="1041" max="1041" width="10.85546875" style="175" bestFit="1" customWidth="1"/>
    <col min="1042" max="1042" width="12.140625" style="175" customWidth="1"/>
    <col min="1043" max="1043" width="11.85546875" style="175" customWidth="1"/>
    <col min="1044" max="1044" width="10.85546875" style="175" bestFit="1" customWidth="1"/>
    <col min="1045" max="1045" width="9.140625" style="175"/>
    <col min="1046" max="1046" width="12.7109375" style="175" customWidth="1"/>
    <col min="1047" max="1047" width="11.7109375" style="175" customWidth="1"/>
    <col min="1048" max="1048" width="12" style="175" customWidth="1"/>
    <col min="1049" max="1049" width="11.85546875" style="175" customWidth="1"/>
    <col min="1050" max="1051" width="13.28515625" style="175" customWidth="1"/>
    <col min="1052" max="1291" width="9.140625" style="175"/>
    <col min="1292" max="1292" width="8.85546875" style="175" customWidth="1"/>
    <col min="1293" max="1293" width="37.5703125" style="175" customWidth="1"/>
    <col min="1294" max="1294" width="10.5703125" style="175" customWidth="1"/>
    <col min="1295" max="1295" width="14" style="175" customWidth="1"/>
    <col min="1296" max="1296" width="15.85546875" style="175" bestFit="1" customWidth="1"/>
    <col min="1297" max="1297" width="10.85546875" style="175" bestFit="1" customWidth="1"/>
    <col min="1298" max="1298" width="12.140625" style="175" customWidth="1"/>
    <col min="1299" max="1299" width="11.85546875" style="175" customWidth="1"/>
    <col min="1300" max="1300" width="10.85546875" style="175" bestFit="1" customWidth="1"/>
    <col min="1301" max="1301" width="9.140625" style="175"/>
    <col min="1302" max="1302" width="12.7109375" style="175" customWidth="1"/>
    <col min="1303" max="1303" width="11.7109375" style="175" customWidth="1"/>
    <col min="1304" max="1304" width="12" style="175" customWidth="1"/>
    <col min="1305" max="1305" width="11.85546875" style="175" customWidth="1"/>
    <col min="1306" max="1307" width="13.28515625" style="175" customWidth="1"/>
    <col min="1308" max="1547" width="9.140625" style="175"/>
    <col min="1548" max="1548" width="8.85546875" style="175" customWidth="1"/>
    <col min="1549" max="1549" width="37.5703125" style="175" customWidth="1"/>
    <col min="1550" max="1550" width="10.5703125" style="175" customWidth="1"/>
    <col min="1551" max="1551" width="14" style="175" customWidth="1"/>
    <col min="1552" max="1552" width="15.85546875" style="175" bestFit="1" customWidth="1"/>
    <col min="1553" max="1553" width="10.85546875" style="175" bestFit="1" customWidth="1"/>
    <col min="1554" max="1554" width="12.140625" style="175" customWidth="1"/>
    <col min="1555" max="1555" width="11.85546875" style="175" customWidth="1"/>
    <col min="1556" max="1556" width="10.85546875" style="175" bestFit="1" customWidth="1"/>
    <col min="1557" max="1557" width="9.140625" style="175"/>
    <col min="1558" max="1558" width="12.7109375" style="175" customWidth="1"/>
    <col min="1559" max="1559" width="11.7109375" style="175" customWidth="1"/>
    <col min="1560" max="1560" width="12" style="175" customWidth="1"/>
    <col min="1561" max="1561" width="11.85546875" style="175" customWidth="1"/>
    <col min="1562" max="1563" width="13.28515625" style="175" customWidth="1"/>
    <col min="1564" max="1803" width="9.140625" style="175"/>
    <col min="1804" max="1804" width="8.85546875" style="175" customWidth="1"/>
    <col min="1805" max="1805" width="37.5703125" style="175" customWidth="1"/>
    <col min="1806" max="1806" width="10.5703125" style="175" customWidth="1"/>
    <col min="1807" max="1807" width="14" style="175" customWidth="1"/>
    <col min="1808" max="1808" width="15.85546875" style="175" bestFit="1" customWidth="1"/>
    <col min="1809" max="1809" width="10.85546875" style="175" bestFit="1" customWidth="1"/>
    <col min="1810" max="1810" width="12.140625" style="175" customWidth="1"/>
    <col min="1811" max="1811" width="11.85546875" style="175" customWidth="1"/>
    <col min="1812" max="1812" width="10.85546875" style="175" bestFit="1" customWidth="1"/>
    <col min="1813" max="1813" width="9.140625" style="175"/>
    <col min="1814" max="1814" width="12.7109375" style="175" customWidth="1"/>
    <col min="1815" max="1815" width="11.7109375" style="175" customWidth="1"/>
    <col min="1816" max="1816" width="12" style="175" customWidth="1"/>
    <col min="1817" max="1817" width="11.85546875" style="175" customWidth="1"/>
    <col min="1818" max="1819" width="13.28515625" style="175" customWidth="1"/>
    <col min="1820" max="2059" width="9.140625" style="175"/>
    <col min="2060" max="2060" width="8.85546875" style="175" customWidth="1"/>
    <col min="2061" max="2061" width="37.5703125" style="175" customWidth="1"/>
    <col min="2062" max="2062" width="10.5703125" style="175" customWidth="1"/>
    <col min="2063" max="2063" width="14" style="175" customWidth="1"/>
    <col min="2064" max="2064" width="15.85546875" style="175" bestFit="1" customWidth="1"/>
    <col min="2065" max="2065" width="10.85546875" style="175" bestFit="1" customWidth="1"/>
    <col min="2066" max="2066" width="12.140625" style="175" customWidth="1"/>
    <col min="2067" max="2067" width="11.85546875" style="175" customWidth="1"/>
    <col min="2068" max="2068" width="10.85546875" style="175" bestFit="1" customWidth="1"/>
    <col min="2069" max="2069" width="9.140625" style="175"/>
    <col min="2070" max="2070" width="12.7109375" style="175" customWidth="1"/>
    <col min="2071" max="2071" width="11.7109375" style="175" customWidth="1"/>
    <col min="2072" max="2072" width="12" style="175" customWidth="1"/>
    <col min="2073" max="2073" width="11.85546875" style="175" customWidth="1"/>
    <col min="2074" max="2075" width="13.28515625" style="175" customWidth="1"/>
    <col min="2076" max="2315" width="9.140625" style="175"/>
    <col min="2316" max="2316" width="8.85546875" style="175" customWidth="1"/>
    <col min="2317" max="2317" width="37.5703125" style="175" customWidth="1"/>
    <col min="2318" max="2318" width="10.5703125" style="175" customWidth="1"/>
    <col min="2319" max="2319" width="14" style="175" customWidth="1"/>
    <col min="2320" max="2320" width="15.85546875" style="175" bestFit="1" customWidth="1"/>
    <col min="2321" max="2321" width="10.85546875" style="175" bestFit="1" customWidth="1"/>
    <col min="2322" max="2322" width="12.140625" style="175" customWidth="1"/>
    <col min="2323" max="2323" width="11.85546875" style="175" customWidth="1"/>
    <col min="2324" max="2324" width="10.85546875" style="175" bestFit="1" customWidth="1"/>
    <col min="2325" max="2325" width="9.140625" style="175"/>
    <col min="2326" max="2326" width="12.7109375" style="175" customWidth="1"/>
    <col min="2327" max="2327" width="11.7109375" style="175" customWidth="1"/>
    <col min="2328" max="2328" width="12" style="175" customWidth="1"/>
    <col min="2329" max="2329" width="11.85546875" style="175" customWidth="1"/>
    <col min="2330" max="2331" width="13.28515625" style="175" customWidth="1"/>
    <col min="2332" max="2571" width="9.140625" style="175"/>
    <col min="2572" max="2572" width="8.85546875" style="175" customWidth="1"/>
    <col min="2573" max="2573" width="37.5703125" style="175" customWidth="1"/>
    <col min="2574" max="2574" width="10.5703125" style="175" customWidth="1"/>
    <col min="2575" max="2575" width="14" style="175" customWidth="1"/>
    <col min="2576" max="2576" width="15.85546875" style="175" bestFit="1" customWidth="1"/>
    <col min="2577" max="2577" width="10.85546875" style="175" bestFit="1" customWidth="1"/>
    <col min="2578" max="2578" width="12.140625" style="175" customWidth="1"/>
    <col min="2579" max="2579" width="11.85546875" style="175" customWidth="1"/>
    <col min="2580" max="2580" width="10.85546875" style="175" bestFit="1" customWidth="1"/>
    <col min="2581" max="2581" width="9.140625" style="175"/>
    <col min="2582" max="2582" width="12.7109375" style="175" customWidth="1"/>
    <col min="2583" max="2583" width="11.7109375" style="175" customWidth="1"/>
    <col min="2584" max="2584" width="12" style="175" customWidth="1"/>
    <col min="2585" max="2585" width="11.85546875" style="175" customWidth="1"/>
    <col min="2586" max="2587" width="13.28515625" style="175" customWidth="1"/>
    <col min="2588" max="2827" width="9.140625" style="175"/>
    <col min="2828" max="2828" width="8.85546875" style="175" customWidth="1"/>
    <col min="2829" max="2829" width="37.5703125" style="175" customWidth="1"/>
    <col min="2830" max="2830" width="10.5703125" style="175" customWidth="1"/>
    <col min="2831" max="2831" width="14" style="175" customWidth="1"/>
    <col min="2832" max="2832" width="15.85546875" style="175" bestFit="1" customWidth="1"/>
    <col min="2833" max="2833" width="10.85546875" style="175" bestFit="1" customWidth="1"/>
    <col min="2834" max="2834" width="12.140625" style="175" customWidth="1"/>
    <col min="2835" max="2835" width="11.85546875" style="175" customWidth="1"/>
    <col min="2836" max="2836" width="10.85546875" style="175" bestFit="1" customWidth="1"/>
    <col min="2837" max="2837" width="9.140625" style="175"/>
    <col min="2838" max="2838" width="12.7109375" style="175" customWidth="1"/>
    <col min="2839" max="2839" width="11.7109375" style="175" customWidth="1"/>
    <col min="2840" max="2840" width="12" style="175" customWidth="1"/>
    <col min="2841" max="2841" width="11.85546875" style="175" customWidth="1"/>
    <col min="2842" max="2843" width="13.28515625" style="175" customWidth="1"/>
    <col min="2844" max="3083" width="9.140625" style="175"/>
    <col min="3084" max="3084" width="8.85546875" style="175" customWidth="1"/>
    <col min="3085" max="3085" width="37.5703125" style="175" customWidth="1"/>
    <col min="3086" max="3086" width="10.5703125" style="175" customWidth="1"/>
    <col min="3087" max="3087" width="14" style="175" customWidth="1"/>
    <col min="3088" max="3088" width="15.85546875" style="175" bestFit="1" customWidth="1"/>
    <col min="3089" max="3089" width="10.85546875" style="175" bestFit="1" customWidth="1"/>
    <col min="3090" max="3090" width="12.140625" style="175" customWidth="1"/>
    <col min="3091" max="3091" width="11.85546875" style="175" customWidth="1"/>
    <col min="3092" max="3092" width="10.85546875" style="175" bestFit="1" customWidth="1"/>
    <col min="3093" max="3093" width="9.140625" style="175"/>
    <col min="3094" max="3094" width="12.7109375" style="175" customWidth="1"/>
    <col min="3095" max="3095" width="11.7109375" style="175" customWidth="1"/>
    <col min="3096" max="3096" width="12" style="175" customWidth="1"/>
    <col min="3097" max="3097" width="11.85546875" style="175" customWidth="1"/>
    <col min="3098" max="3099" width="13.28515625" style="175" customWidth="1"/>
    <col min="3100" max="3339" width="9.140625" style="175"/>
    <col min="3340" max="3340" width="8.85546875" style="175" customWidth="1"/>
    <col min="3341" max="3341" width="37.5703125" style="175" customWidth="1"/>
    <col min="3342" max="3342" width="10.5703125" style="175" customWidth="1"/>
    <col min="3343" max="3343" width="14" style="175" customWidth="1"/>
    <col min="3344" max="3344" width="15.85546875" style="175" bestFit="1" customWidth="1"/>
    <col min="3345" max="3345" width="10.85546875" style="175" bestFit="1" customWidth="1"/>
    <col min="3346" max="3346" width="12.140625" style="175" customWidth="1"/>
    <col min="3347" max="3347" width="11.85546875" style="175" customWidth="1"/>
    <col min="3348" max="3348" width="10.85546875" style="175" bestFit="1" customWidth="1"/>
    <col min="3349" max="3349" width="9.140625" style="175"/>
    <col min="3350" max="3350" width="12.7109375" style="175" customWidth="1"/>
    <col min="3351" max="3351" width="11.7109375" style="175" customWidth="1"/>
    <col min="3352" max="3352" width="12" style="175" customWidth="1"/>
    <col min="3353" max="3353" width="11.85546875" style="175" customWidth="1"/>
    <col min="3354" max="3355" width="13.28515625" style="175" customWidth="1"/>
    <col min="3356" max="3595" width="9.140625" style="175"/>
    <col min="3596" max="3596" width="8.85546875" style="175" customWidth="1"/>
    <col min="3597" max="3597" width="37.5703125" style="175" customWidth="1"/>
    <col min="3598" max="3598" width="10.5703125" style="175" customWidth="1"/>
    <col min="3599" max="3599" width="14" style="175" customWidth="1"/>
    <col min="3600" max="3600" width="15.85546875" style="175" bestFit="1" customWidth="1"/>
    <col min="3601" max="3601" width="10.85546875" style="175" bestFit="1" customWidth="1"/>
    <col min="3602" max="3602" width="12.140625" style="175" customWidth="1"/>
    <col min="3603" max="3603" width="11.85546875" style="175" customWidth="1"/>
    <col min="3604" max="3604" width="10.85546875" style="175" bestFit="1" customWidth="1"/>
    <col min="3605" max="3605" width="9.140625" style="175"/>
    <col min="3606" max="3606" width="12.7109375" style="175" customWidth="1"/>
    <col min="3607" max="3607" width="11.7109375" style="175" customWidth="1"/>
    <col min="3608" max="3608" width="12" style="175" customWidth="1"/>
    <col min="3609" max="3609" width="11.85546875" style="175" customWidth="1"/>
    <col min="3610" max="3611" width="13.28515625" style="175" customWidth="1"/>
    <col min="3612" max="3851" width="9.140625" style="175"/>
    <col min="3852" max="3852" width="8.85546875" style="175" customWidth="1"/>
    <col min="3853" max="3853" width="37.5703125" style="175" customWidth="1"/>
    <col min="3854" max="3854" width="10.5703125" style="175" customWidth="1"/>
    <col min="3855" max="3855" width="14" style="175" customWidth="1"/>
    <col min="3856" max="3856" width="15.85546875" style="175" bestFit="1" customWidth="1"/>
    <col min="3857" max="3857" width="10.85546875" style="175" bestFit="1" customWidth="1"/>
    <col min="3858" max="3858" width="12.140625" style="175" customWidth="1"/>
    <col min="3859" max="3859" width="11.85546875" style="175" customWidth="1"/>
    <col min="3860" max="3860" width="10.85546875" style="175" bestFit="1" customWidth="1"/>
    <col min="3861" max="3861" width="9.140625" style="175"/>
    <col min="3862" max="3862" width="12.7109375" style="175" customWidth="1"/>
    <col min="3863" max="3863" width="11.7109375" style="175" customWidth="1"/>
    <col min="3864" max="3864" width="12" style="175" customWidth="1"/>
    <col min="3865" max="3865" width="11.85546875" style="175" customWidth="1"/>
    <col min="3866" max="3867" width="13.28515625" style="175" customWidth="1"/>
    <col min="3868" max="4107" width="9.140625" style="175"/>
    <col min="4108" max="4108" width="8.85546875" style="175" customWidth="1"/>
    <col min="4109" max="4109" width="37.5703125" style="175" customWidth="1"/>
    <col min="4110" max="4110" width="10.5703125" style="175" customWidth="1"/>
    <col min="4111" max="4111" width="14" style="175" customWidth="1"/>
    <col min="4112" max="4112" width="15.85546875" style="175" bestFit="1" customWidth="1"/>
    <col min="4113" max="4113" width="10.85546875" style="175" bestFit="1" customWidth="1"/>
    <col min="4114" max="4114" width="12.140625" style="175" customWidth="1"/>
    <col min="4115" max="4115" width="11.85546875" style="175" customWidth="1"/>
    <col min="4116" max="4116" width="10.85546875" style="175" bestFit="1" customWidth="1"/>
    <col min="4117" max="4117" width="9.140625" style="175"/>
    <col min="4118" max="4118" width="12.7109375" style="175" customWidth="1"/>
    <col min="4119" max="4119" width="11.7109375" style="175" customWidth="1"/>
    <col min="4120" max="4120" width="12" style="175" customWidth="1"/>
    <col min="4121" max="4121" width="11.85546875" style="175" customWidth="1"/>
    <col min="4122" max="4123" width="13.28515625" style="175" customWidth="1"/>
    <col min="4124" max="4363" width="9.140625" style="175"/>
    <col min="4364" max="4364" width="8.85546875" style="175" customWidth="1"/>
    <col min="4365" max="4365" width="37.5703125" style="175" customWidth="1"/>
    <col min="4366" max="4366" width="10.5703125" style="175" customWidth="1"/>
    <col min="4367" max="4367" width="14" style="175" customWidth="1"/>
    <col min="4368" max="4368" width="15.85546875" style="175" bestFit="1" customWidth="1"/>
    <col min="4369" max="4369" width="10.85546875" style="175" bestFit="1" customWidth="1"/>
    <col min="4370" max="4370" width="12.140625" style="175" customWidth="1"/>
    <col min="4371" max="4371" width="11.85546875" style="175" customWidth="1"/>
    <col min="4372" max="4372" width="10.85546875" style="175" bestFit="1" customWidth="1"/>
    <col min="4373" max="4373" width="9.140625" style="175"/>
    <col min="4374" max="4374" width="12.7109375" style="175" customWidth="1"/>
    <col min="4375" max="4375" width="11.7109375" style="175" customWidth="1"/>
    <col min="4376" max="4376" width="12" style="175" customWidth="1"/>
    <col min="4377" max="4377" width="11.85546875" style="175" customWidth="1"/>
    <col min="4378" max="4379" width="13.28515625" style="175" customWidth="1"/>
    <col min="4380" max="4619" width="9.140625" style="175"/>
    <col min="4620" max="4620" width="8.85546875" style="175" customWidth="1"/>
    <col min="4621" max="4621" width="37.5703125" style="175" customWidth="1"/>
    <col min="4622" max="4622" width="10.5703125" style="175" customWidth="1"/>
    <col min="4623" max="4623" width="14" style="175" customWidth="1"/>
    <col min="4624" max="4624" width="15.85546875" style="175" bestFit="1" customWidth="1"/>
    <col min="4625" max="4625" width="10.85546875" style="175" bestFit="1" customWidth="1"/>
    <col min="4626" max="4626" width="12.140625" style="175" customWidth="1"/>
    <col min="4627" max="4627" width="11.85546875" style="175" customWidth="1"/>
    <col min="4628" max="4628" width="10.85546875" style="175" bestFit="1" customWidth="1"/>
    <col min="4629" max="4629" width="9.140625" style="175"/>
    <col min="4630" max="4630" width="12.7109375" style="175" customWidth="1"/>
    <col min="4631" max="4631" width="11.7109375" style="175" customWidth="1"/>
    <col min="4632" max="4632" width="12" style="175" customWidth="1"/>
    <col min="4633" max="4633" width="11.85546875" style="175" customWidth="1"/>
    <col min="4634" max="4635" width="13.28515625" style="175" customWidth="1"/>
    <col min="4636" max="4875" width="9.140625" style="175"/>
    <col min="4876" max="4876" width="8.85546875" style="175" customWidth="1"/>
    <col min="4877" max="4877" width="37.5703125" style="175" customWidth="1"/>
    <col min="4878" max="4878" width="10.5703125" style="175" customWidth="1"/>
    <col min="4879" max="4879" width="14" style="175" customWidth="1"/>
    <col min="4880" max="4880" width="15.85546875" style="175" bestFit="1" customWidth="1"/>
    <col min="4881" max="4881" width="10.85546875" style="175" bestFit="1" customWidth="1"/>
    <col min="4882" max="4882" width="12.140625" style="175" customWidth="1"/>
    <col min="4883" max="4883" width="11.85546875" style="175" customWidth="1"/>
    <col min="4884" max="4884" width="10.85546875" style="175" bestFit="1" customWidth="1"/>
    <col min="4885" max="4885" width="9.140625" style="175"/>
    <col min="4886" max="4886" width="12.7109375" style="175" customWidth="1"/>
    <col min="4887" max="4887" width="11.7109375" style="175" customWidth="1"/>
    <col min="4888" max="4888" width="12" style="175" customWidth="1"/>
    <col min="4889" max="4889" width="11.85546875" style="175" customWidth="1"/>
    <col min="4890" max="4891" width="13.28515625" style="175" customWidth="1"/>
    <col min="4892" max="5131" width="9.140625" style="175"/>
    <col min="5132" max="5132" width="8.85546875" style="175" customWidth="1"/>
    <col min="5133" max="5133" width="37.5703125" style="175" customWidth="1"/>
    <col min="5134" max="5134" width="10.5703125" style="175" customWidth="1"/>
    <col min="5135" max="5135" width="14" style="175" customWidth="1"/>
    <col min="5136" max="5136" width="15.85546875" style="175" bestFit="1" customWidth="1"/>
    <col min="5137" max="5137" width="10.85546875" style="175" bestFit="1" customWidth="1"/>
    <col min="5138" max="5138" width="12.140625" style="175" customWidth="1"/>
    <col min="5139" max="5139" width="11.85546875" style="175" customWidth="1"/>
    <col min="5140" max="5140" width="10.85546875" style="175" bestFit="1" customWidth="1"/>
    <col min="5141" max="5141" width="9.140625" style="175"/>
    <col min="5142" max="5142" width="12.7109375" style="175" customWidth="1"/>
    <col min="5143" max="5143" width="11.7109375" style="175" customWidth="1"/>
    <col min="5144" max="5144" width="12" style="175" customWidth="1"/>
    <col min="5145" max="5145" width="11.85546875" style="175" customWidth="1"/>
    <col min="5146" max="5147" width="13.28515625" style="175" customWidth="1"/>
    <col min="5148" max="5387" width="9.140625" style="175"/>
    <col min="5388" max="5388" width="8.85546875" style="175" customWidth="1"/>
    <col min="5389" max="5389" width="37.5703125" style="175" customWidth="1"/>
    <col min="5390" max="5390" width="10.5703125" style="175" customWidth="1"/>
    <col min="5391" max="5391" width="14" style="175" customWidth="1"/>
    <col min="5392" max="5392" width="15.85546875" style="175" bestFit="1" customWidth="1"/>
    <col min="5393" max="5393" width="10.85546875" style="175" bestFit="1" customWidth="1"/>
    <col min="5394" max="5394" width="12.140625" style="175" customWidth="1"/>
    <col min="5395" max="5395" width="11.85546875" style="175" customWidth="1"/>
    <col min="5396" max="5396" width="10.85546875" style="175" bestFit="1" customWidth="1"/>
    <col min="5397" max="5397" width="9.140625" style="175"/>
    <col min="5398" max="5398" width="12.7109375" style="175" customWidth="1"/>
    <col min="5399" max="5399" width="11.7109375" style="175" customWidth="1"/>
    <col min="5400" max="5400" width="12" style="175" customWidth="1"/>
    <col min="5401" max="5401" width="11.85546875" style="175" customWidth="1"/>
    <col min="5402" max="5403" width="13.28515625" style="175" customWidth="1"/>
    <col min="5404" max="5643" width="9.140625" style="175"/>
    <col min="5644" max="5644" width="8.85546875" style="175" customWidth="1"/>
    <col min="5645" max="5645" width="37.5703125" style="175" customWidth="1"/>
    <col min="5646" max="5646" width="10.5703125" style="175" customWidth="1"/>
    <col min="5647" max="5647" width="14" style="175" customWidth="1"/>
    <col min="5648" max="5648" width="15.85546875" style="175" bestFit="1" customWidth="1"/>
    <col min="5649" max="5649" width="10.85546875" style="175" bestFit="1" customWidth="1"/>
    <col min="5650" max="5650" width="12.140625" style="175" customWidth="1"/>
    <col min="5651" max="5651" width="11.85546875" style="175" customWidth="1"/>
    <col min="5652" max="5652" width="10.85546875" style="175" bestFit="1" customWidth="1"/>
    <col min="5653" max="5653" width="9.140625" style="175"/>
    <col min="5654" max="5654" width="12.7109375" style="175" customWidth="1"/>
    <col min="5655" max="5655" width="11.7109375" style="175" customWidth="1"/>
    <col min="5656" max="5656" width="12" style="175" customWidth="1"/>
    <col min="5657" max="5657" width="11.85546875" style="175" customWidth="1"/>
    <col min="5658" max="5659" width="13.28515625" style="175" customWidth="1"/>
    <col min="5660" max="5899" width="9.140625" style="175"/>
    <col min="5900" max="5900" width="8.85546875" style="175" customWidth="1"/>
    <col min="5901" max="5901" width="37.5703125" style="175" customWidth="1"/>
    <col min="5902" max="5902" width="10.5703125" style="175" customWidth="1"/>
    <col min="5903" max="5903" width="14" style="175" customWidth="1"/>
    <col min="5904" max="5904" width="15.85546875" style="175" bestFit="1" customWidth="1"/>
    <col min="5905" max="5905" width="10.85546875" style="175" bestFit="1" customWidth="1"/>
    <col min="5906" max="5906" width="12.140625" style="175" customWidth="1"/>
    <col min="5907" max="5907" width="11.85546875" style="175" customWidth="1"/>
    <col min="5908" max="5908" width="10.85546875" style="175" bestFit="1" customWidth="1"/>
    <col min="5909" max="5909" width="9.140625" style="175"/>
    <col min="5910" max="5910" width="12.7109375" style="175" customWidth="1"/>
    <col min="5911" max="5911" width="11.7109375" style="175" customWidth="1"/>
    <col min="5912" max="5912" width="12" style="175" customWidth="1"/>
    <col min="5913" max="5913" width="11.85546875" style="175" customWidth="1"/>
    <col min="5914" max="5915" width="13.28515625" style="175" customWidth="1"/>
    <col min="5916" max="6155" width="9.140625" style="175"/>
    <col min="6156" max="6156" width="8.85546875" style="175" customWidth="1"/>
    <col min="6157" max="6157" width="37.5703125" style="175" customWidth="1"/>
    <col min="6158" max="6158" width="10.5703125" style="175" customWidth="1"/>
    <col min="6159" max="6159" width="14" style="175" customWidth="1"/>
    <col min="6160" max="6160" width="15.85546875" style="175" bestFit="1" customWidth="1"/>
    <col min="6161" max="6161" width="10.85546875" style="175" bestFit="1" customWidth="1"/>
    <col min="6162" max="6162" width="12.140625" style="175" customWidth="1"/>
    <col min="6163" max="6163" width="11.85546875" style="175" customWidth="1"/>
    <col min="6164" max="6164" width="10.85546875" style="175" bestFit="1" customWidth="1"/>
    <col min="6165" max="6165" width="9.140625" style="175"/>
    <col min="6166" max="6166" width="12.7109375" style="175" customWidth="1"/>
    <col min="6167" max="6167" width="11.7109375" style="175" customWidth="1"/>
    <col min="6168" max="6168" width="12" style="175" customWidth="1"/>
    <col min="6169" max="6169" width="11.85546875" style="175" customWidth="1"/>
    <col min="6170" max="6171" width="13.28515625" style="175" customWidth="1"/>
    <col min="6172" max="6411" width="9.140625" style="175"/>
    <col min="6412" max="6412" width="8.85546875" style="175" customWidth="1"/>
    <col min="6413" max="6413" width="37.5703125" style="175" customWidth="1"/>
    <col min="6414" max="6414" width="10.5703125" style="175" customWidth="1"/>
    <col min="6415" max="6415" width="14" style="175" customWidth="1"/>
    <col min="6416" max="6416" width="15.85546875" style="175" bestFit="1" customWidth="1"/>
    <col min="6417" max="6417" width="10.85546875" style="175" bestFit="1" customWidth="1"/>
    <col min="6418" max="6418" width="12.140625" style="175" customWidth="1"/>
    <col min="6419" max="6419" width="11.85546875" style="175" customWidth="1"/>
    <col min="6420" max="6420" width="10.85546875" style="175" bestFit="1" customWidth="1"/>
    <col min="6421" max="6421" width="9.140625" style="175"/>
    <col min="6422" max="6422" width="12.7109375" style="175" customWidth="1"/>
    <col min="6423" max="6423" width="11.7109375" style="175" customWidth="1"/>
    <col min="6424" max="6424" width="12" style="175" customWidth="1"/>
    <col min="6425" max="6425" width="11.85546875" style="175" customWidth="1"/>
    <col min="6426" max="6427" width="13.28515625" style="175" customWidth="1"/>
    <col min="6428" max="6667" width="9.140625" style="175"/>
    <col min="6668" max="6668" width="8.85546875" style="175" customWidth="1"/>
    <col min="6669" max="6669" width="37.5703125" style="175" customWidth="1"/>
    <col min="6670" max="6670" width="10.5703125" style="175" customWidth="1"/>
    <col min="6671" max="6671" width="14" style="175" customWidth="1"/>
    <col min="6672" max="6672" width="15.85546875" style="175" bestFit="1" customWidth="1"/>
    <col min="6673" max="6673" width="10.85546875" style="175" bestFit="1" customWidth="1"/>
    <col min="6674" max="6674" width="12.140625" style="175" customWidth="1"/>
    <col min="6675" max="6675" width="11.85546875" style="175" customWidth="1"/>
    <col min="6676" max="6676" width="10.85546875" style="175" bestFit="1" customWidth="1"/>
    <col min="6677" max="6677" width="9.140625" style="175"/>
    <col min="6678" max="6678" width="12.7109375" style="175" customWidth="1"/>
    <col min="6679" max="6679" width="11.7109375" style="175" customWidth="1"/>
    <col min="6680" max="6680" width="12" style="175" customWidth="1"/>
    <col min="6681" max="6681" width="11.85546875" style="175" customWidth="1"/>
    <col min="6682" max="6683" width="13.28515625" style="175" customWidth="1"/>
    <col min="6684" max="6923" width="9.140625" style="175"/>
    <col min="6924" max="6924" width="8.85546875" style="175" customWidth="1"/>
    <col min="6925" max="6925" width="37.5703125" style="175" customWidth="1"/>
    <col min="6926" max="6926" width="10.5703125" style="175" customWidth="1"/>
    <col min="6927" max="6927" width="14" style="175" customWidth="1"/>
    <col min="6928" max="6928" width="15.85546875" style="175" bestFit="1" customWidth="1"/>
    <col min="6929" max="6929" width="10.85546875" style="175" bestFit="1" customWidth="1"/>
    <col min="6930" max="6930" width="12.140625" style="175" customWidth="1"/>
    <col min="6931" max="6931" width="11.85546875" style="175" customWidth="1"/>
    <col min="6932" max="6932" width="10.85546875" style="175" bestFit="1" customWidth="1"/>
    <col min="6933" max="6933" width="9.140625" style="175"/>
    <col min="6934" max="6934" width="12.7109375" style="175" customWidth="1"/>
    <col min="6935" max="6935" width="11.7109375" style="175" customWidth="1"/>
    <col min="6936" max="6936" width="12" style="175" customWidth="1"/>
    <col min="6937" max="6937" width="11.85546875" style="175" customWidth="1"/>
    <col min="6938" max="6939" width="13.28515625" style="175" customWidth="1"/>
    <col min="6940" max="7179" width="9.140625" style="175"/>
    <col min="7180" max="7180" width="8.85546875" style="175" customWidth="1"/>
    <col min="7181" max="7181" width="37.5703125" style="175" customWidth="1"/>
    <col min="7182" max="7182" width="10.5703125" style="175" customWidth="1"/>
    <col min="7183" max="7183" width="14" style="175" customWidth="1"/>
    <col min="7184" max="7184" width="15.85546875" style="175" bestFit="1" customWidth="1"/>
    <col min="7185" max="7185" width="10.85546875" style="175" bestFit="1" customWidth="1"/>
    <col min="7186" max="7186" width="12.140625" style="175" customWidth="1"/>
    <col min="7187" max="7187" width="11.85546875" style="175" customWidth="1"/>
    <col min="7188" max="7188" width="10.85546875" style="175" bestFit="1" customWidth="1"/>
    <col min="7189" max="7189" width="9.140625" style="175"/>
    <col min="7190" max="7190" width="12.7109375" style="175" customWidth="1"/>
    <col min="7191" max="7191" width="11.7109375" style="175" customWidth="1"/>
    <col min="7192" max="7192" width="12" style="175" customWidth="1"/>
    <col min="7193" max="7193" width="11.85546875" style="175" customWidth="1"/>
    <col min="7194" max="7195" width="13.28515625" style="175" customWidth="1"/>
    <col min="7196" max="7435" width="9.140625" style="175"/>
    <col min="7436" max="7436" width="8.85546875" style="175" customWidth="1"/>
    <col min="7437" max="7437" width="37.5703125" style="175" customWidth="1"/>
    <col min="7438" max="7438" width="10.5703125" style="175" customWidth="1"/>
    <col min="7439" max="7439" width="14" style="175" customWidth="1"/>
    <col min="7440" max="7440" width="15.85546875" style="175" bestFit="1" customWidth="1"/>
    <col min="7441" max="7441" width="10.85546875" style="175" bestFit="1" customWidth="1"/>
    <col min="7442" max="7442" width="12.140625" style="175" customWidth="1"/>
    <col min="7443" max="7443" width="11.85546875" style="175" customWidth="1"/>
    <col min="7444" max="7444" width="10.85546875" style="175" bestFit="1" customWidth="1"/>
    <col min="7445" max="7445" width="9.140625" style="175"/>
    <col min="7446" max="7446" width="12.7109375" style="175" customWidth="1"/>
    <col min="7447" max="7447" width="11.7109375" style="175" customWidth="1"/>
    <col min="7448" max="7448" width="12" style="175" customWidth="1"/>
    <col min="7449" max="7449" width="11.85546875" style="175" customWidth="1"/>
    <col min="7450" max="7451" width="13.28515625" style="175" customWidth="1"/>
    <col min="7452" max="7691" width="9.140625" style="175"/>
    <col min="7692" max="7692" width="8.85546875" style="175" customWidth="1"/>
    <col min="7693" max="7693" width="37.5703125" style="175" customWidth="1"/>
    <col min="7694" max="7694" width="10.5703125" style="175" customWidth="1"/>
    <col min="7695" max="7695" width="14" style="175" customWidth="1"/>
    <col min="7696" max="7696" width="15.85546875" style="175" bestFit="1" customWidth="1"/>
    <col min="7697" max="7697" width="10.85546875" style="175" bestFit="1" customWidth="1"/>
    <col min="7698" max="7698" width="12.140625" style="175" customWidth="1"/>
    <col min="7699" max="7699" width="11.85546875" style="175" customWidth="1"/>
    <col min="7700" max="7700" width="10.85546875" style="175" bestFit="1" customWidth="1"/>
    <col min="7701" max="7701" width="9.140625" style="175"/>
    <col min="7702" max="7702" width="12.7109375" style="175" customWidth="1"/>
    <col min="7703" max="7703" width="11.7109375" style="175" customWidth="1"/>
    <col min="7704" max="7704" width="12" style="175" customWidth="1"/>
    <col min="7705" max="7705" width="11.85546875" style="175" customWidth="1"/>
    <col min="7706" max="7707" width="13.28515625" style="175" customWidth="1"/>
    <col min="7708" max="7947" width="9.140625" style="175"/>
    <col min="7948" max="7948" width="8.85546875" style="175" customWidth="1"/>
    <col min="7949" max="7949" width="37.5703125" style="175" customWidth="1"/>
    <col min="7950" max="7950" width="10.5703125" style="175" customWidth="1"/>
    <col min="7951" max="7951" width="14" style="175" customWidth="1"/>
    <col min="7952" max="7952" width="15.85546875" style="175" bestFit="1" customWidth="1"/>
    <col min="7953" max="7953" width="10.85546875" style="175" bestFit="1" customWidth="1"/>
    <col min="7954" max="7954" width="12.140625" style="175" customWidth="1"/>
    <col min="7955" max="7955" width="11.85546875" style="175" customWidth="1"/>
    <col min="7956" max="7956" width="10.85546875" style="175" bestFit="1" customWidth="1"/>
    <col min="7957" max="7957" width="9.140625" style="175"/>
    <col min="7958" max="7958" width="12.7109375" style="175" customWidth="1"/>
    <col min="7959" max="7959" width="11.7109375" style="175" customWidth="1"/>
    <col min="7960" max="7960" width="12" style="175" customWidth="1"/>
    <col min="7961" max="7961" width="11.85546875" style="175" customWidth="1"/>
    <col min="7962" max="7963" width="13.28515625" style="175" customWidth="1"/>
    <col min="7964" max="8203" width="9.140625" style="175"/>
    <col min="8204" max="8204" width="8.85546875" style="175" customWidth="1"/>
    <col min="8205" max="8205" width="37.5703125" style="175" customWidth="1"/>
    <col min="8206" max="8206" width="10.5703125" style="175" customWidth="1"/>
    <col min="8207" max="8207" width="14" style="175" customWidth="1"/>
    <col min="8208" max="8208" width="15.85546875" style="175" bestFit="1" customWidth="1"/>
    <col min="8209" max="8209" width="10.85546875" style="175" bestFit="1" customWidth="1"/>
    <col min="8210" max="8210" width="12.140625" style="175" customWidth="1"/>
    <col min="8211" max="8211" width="11.85546875" style="175" customWidth="1"/>
    <col min="8212" max="8212" width="10.85546875" style="175" bestFit="1" customWidth="1"/>
    <col min="8213" max="8213" width="9.140625" style="175"/>
    <col min="8214" max="8214" width="12.7109375" style="175" customWidth="1"/>
    <col min="8215" max="8215" width="11.7109375" style="175" customWidth="1"/>
    <col min="8216" max="8216" width="12" style="175" customWidth="1"/>
    <col min="8217" max="8217" width="11.85546875" style="175" customWidth="1"/>
    <col min="8218" max="8219" width="13.28515625" style="175" customWidth="1"/>
    <col min="8220" max="8459" width="9.140625" style="175"/>
    <col min="8460" max="8460" width="8.85546875" style="175" customWidth="1"/>
    <col min="8461" max="8461" width="37.5703125" style="175" customWidth="1"/>
    <col min="8462" max="8462" width="10.5703125" style="175" customWidth="1"/>
    <col min="8463" max="8463" width="14" style="175" customWidth="1"/>
    <col min="8464" max="8464" width="15.85546875" style="175" bestFit="1" customWidth="1"/>
    <col min="8465" max="8465" width="10.85546875" style="175" bestFit="1" customWidth="1"/>
    <col min="8466" max="8466" width="12.140625" style="175" customWidth="1"/>
    <col min="8467" max="8467" width="11.85546875" style="175" customWidth="1"/>
    <col min="8468" max="8468" width="10.85546875" style="175" bestFit="1" customWidth="1"/>
    <col min="8469" max="8469" width="9.140625" style="175"/>
    <col min="8470" max="8470" width="12.7109375" style="175" customWidth="1"/>
    <col min="8471" max="8471" width="11.7109375" style="175" customWidth="1"/>
    <col min="8472" max="8472" width="12" style="175" customWidth="1"/>
    <col min="8473" max="8473" width="11.85546875" style="175" customWidth="1"/>
    <col min="8474" max="8475" width="13.28515625" style="175" customWidth="1"/>
    <col min="8476" max="8715" width="9.140625" style="175"/>
    <col min="8716" max="8716" width="8.85546875" style="175" customWidth="1"/>
    <col min="8717" max="8717" width="37.5703125" style="175" customWidth="1"/>
    <col min="8718" max="8718" width="10.5703125" style="175" customWidth="1"/>
    <col min="8719" max="8719" width="14" style="175" customWidth="1"/>
    <col min="8720" max="8720" width="15.85546875" style="175" bestFit="1" customWidth="1"/>
    <col min="8721" max="8721" width="10.85546875" style="175" bestFit="1" customWidth="1"/>
    <col min="8722" max="8722" width="12.140625" style="175" customWidth="1"/>
    <col min="8723" max="8723" width="11.85546875" style="175" customWidth="1"/>
    <col min="8724" max="8724" width="10.85546875" style="175" bestFit="1" customWidth="1"/>
    <col min="8725" max="8725" width="9.140625" style="175"/>
    <col min="8726" max="8726" width="12.7109375" style="175" customWidth="1"/>
    <col min="8727" max="8727" width="11.7109375" style="175" customWidth="1"/>
    <col min="8728" max="8728" width="12" style="175" customWidth="1"/>
    <col min="8729" max="8729" width="11.85546875" style="175" customWidth="1"/>
    <col min="8730" max="8731" width="13.28515625" style="175" customWidth="1"/>
    <col min="8732" max="8971" width="9.140625" style="175"/>
    <col min="8972" max="8972" width="8.85546875" style="175" customWidth="1"/>
    <col min="8973" max="8973" width="37.5703125" style="175" customWidth="1"/>
    <col min="8974" max="8974" width="10.5703125" style="175" customWidth="1"/>
    <col min="8975" max="8975" width="14" style="175" customWidth="1"/>
    <col min="8976" max="8976" width="15.85546875" style="175" bestFit="1" customWidth="1"/>
    <col min="8977" max="8977" width="10.85546875" style="175" bestFit="1" customWidth="1"/>
    <col min="8978" max="8978" width="12.140625" style="175" customWidth="1"/>
    <col min="8979" max="8979" width="11.85546875" style="175" customWidth="1"/>
    <col min="8980" max="8980" width="10.85546875" style="175" bestFit="1" customWidth="1"/>
    <col min="8981" max="8981" width="9.140625" style="175"/>
    <col min="8982" max="8982" width="12.7109375" style="175" customWidth="1"/>
    <col min="8983" max="8983" width="11.7109375" style="175" customWidth="1"/>
    <col min="8984" max="8984" width="12" style="175" customWidth="1"/>
    <col min="8985" max="8985" width="11.85546875" style="175" customWidth="1"/>
    <col min="8986" max="8987" width="13.28515625" style="175" customWidth="1"/>
    <col min="8988" max="9227" width="9.140625" style="175"/>
    <col min="9228" max="9228" width="8.85546875" style="175" customWidth="1"/>
    <col min="9229" max="9229" width="37.5703125" style="175" customWidth="1"/>
    <col min="9230" max="9230" width="10.5703125" style="175" customWidth="1"/>
    <col min="9231" max="9231" width="14" style="175" customWidth="1"/>
    <col min="9232" max="9232" width="15.85546875" style="175" bestFit="1" customWidth="1"/>
    <col min="9233" max="9233" width="10.85546875" style="175" bestFit="1" customWidth="1"/>
    <col min="9234" max="9234" width="12.140625" style="175" customWidth="1"/>
    <col min="9235" max="9235" width="11.85546875" style="175" customWidth="1"/>
    <col min="9236" max="9236" width="10.85546875" style="175" bestFit="1" customWidth="1"/>
    <col min="9237" max="9237" width="9.140625" style="175"/>
    <col min="9238" max="9238" width="12.7109375" style="175" customWidth="1"/>
    <col min="9239" max="9239" width="11.7109375" style="175" customWidth="1"/>
    <col min="9240" max="9240" width="12" style="175" customWidth="1"/>
    <col min="9241" max="9241" width="11.85546875" style="175" customWidth="1"/>
    <col min="9242" max="9243" width="13.28515625" style="175" customWidth="1"/>
    <col min="9244" max="9483" width="9.140625" style="175"/>
    <col min="9484" max="9484" width="8.85546875" style="175" customWidth="1"/>
    <col min="9485" max="9485" width="37.5703125" style="175" customWidth="1"/>
    <col min="9486" max="9486" width="10.5703125" style="175" customWidth="1"/>
    <col min="9487" max="9487" width="14" style="175" customWidth="1"/>
    <col min="9488" max="9488" width="15.85546875" style="175" bestFit="1" customWidth="1"/>
    <col min="9489" max="9489" width="10.85546875" style="175" bestFit="1" customWidth="1"/>
    <col min="9490" max="9490" width="12.140625" style="175" customWidth="1"/>
    <col min="9491" max="9491" width="11.85546875" style="175" customWidth="1"/>
    <col min="9492" max="9492" width="10.85546875" style="175" bestFit="1" customWidth="1"/>
    <col min="9493" max="9493" width="9.140625" style="175"/>
    <col min="9494" max="9494" width="12.7109375" style="175" customWidth="1"/>
    <col min="9495" max="9495" width="11.7109375" style="175" customWidth="1"/>
    <col min="9496" max="9496" width="12" style="175" customWidth="1"/>
    <col min="9497" max="9497" width="11.85546875" style="175" customWidth="1"/>
    <col min="9498" max="9499" width="13.28515625" style="175" customWidth="1"/>
    <col min="9500" max="9739" width="9.140625" style="175"/>
    <col min="9740" max="9740" width="8.85546875" style="175" customWidth="1"/>
    <col min="9741" max="9741" width="37.5703125" style="175" customWidth="1"/>
    <col min="9742" max="9742" width="10.5703125" style="175" customWidth="1"/>
    <col min="9743" max="9743" width="14" style="175" customWidth="1"/>
    <col min="9744" max="9744" width="15.85546875" style="175" bestFit="1" customWidth="1"/>
    <col min="9745" max="9745" width="10.85546875" style="175" bestFit="1" customWidth="1"/>
    <col min="9746" max="9746" width="12.140625" style="175" customWidth="1"/>
    <col min="9747" max="9747" width="11.85546875" style="175" customWidth="1"/>
    <col min="9748" max="9748" width="10.85546875" style="175" bestFit="1" customWidth="1"/>
    <col min="9749" max="9749" width="9.140625" style="175"/>
    <col min="9750" max="9750" width="12.7109375" style="175" customWidth="1"/>
    <col min="9751" max="9751" width="11.7109375" style="175" customWidth="1"/>
    <col min="9752" max="9752" width="12" style="175" customWidth="1"/>
    <col min="9753" max="9753" width="11.85546875" style="175" customWidth="1"/>
    <col min="9754" max="9755" width="13.28515625" style="175" customWidth="1"/>
    <col min="9756" max="9995" width="9.140625" style="175"/>
    <col min="9996" max="9996" width="8.85546875" style="175" customWidth="1"/>
    <col min="9997" max="9997" width="37.5703125" style="175" customWidth="1"/>
    <col min="9998" max="9998" width="10.5703125" style="175" customWidth="1"/>
    <col min="9999" max="9999" width="14" style="175" customWidth="1"/>
    <col min="10000" max="10000" width="15.85546875" style="175" bestFit="1" customWidth="1"/>
    <col min="10001" max="10001" width="10.85546875" style="175" bestFit="1" customWidth="1"/>
    <col min="10002" max="10002" width="12.140625" style="175" customWidth="1"/>
    <col min="10003" max="10003" width="11.85546875" style="175" customWidth="1"/>
    <col min="10004" max="10004" width="10.85546875" style="175" bestFit="1" customWidth="1"/>
    <col min="10005" max="10005" width="9.140625" style="175"/>
    <col min="10006" max="10006" width="12.7109375" style="175" customWidth="1"/>
    <col min="10007" max="10007" width="11.7109375" style="175" customWidth="1"/>
    <col min="10008" max="10008" width="12" style="175" customWidth="1"/>
    <col min="10009" max="10009" width="11.85546875" style="175" customWidth="1"/>
    <col min="10010" max="10011" width="13.28515625" style="175" customWidth="1"/>
    <col min="10012" max="10251" width="9.140625" style="175"/>
    <col min="10252" max="10252" width="8.85546875" style="175" customWidth="1"/>
    <col min="10253" max="10253" width="37.5703125" style="175" customWidth="1"/>
    <col min="10254" max="10254" width="10.5703125" style="175" customWidth="1"/>
    <col min="10255" max="10255" width="14" style="175" customWidth="1"/>
    <col min="10256" max="10256" width="15.85546875" style="175" bestFit="1" customWidth="1"/>
    <col min="10257" max="10257" width="10.85546875" style="175" bestFit="1" customWidth="1"/>
    <col min="10258" max="10258" width="12.140625" style="175" customWidth="1"/>
    <col min="10259" max="10259" width="11.85546875" style="175" customWidth="1"/>
    <col min="10260" max="10260" width="10.85546875" style="175" bestFit="1" customWidth="1"/>
    <col min="10261" max="10261" width="9.140625" style="175"/>
    <col min="10262" max="10262" width="12.7109375" style="175" customWidth="1"/>
    <col min="10263" max="10263" width="11.7109375" style="175" customWidth="1"/>
    <col min="10264" max="10264" width="12" style="175" customWidth="1"/>
    <col min="10265" max="10265" width="11.85546875" style="175" customWidth="1"/>
    <col min="10266" max="10267" width="13.28515625" style="175" customWidth="1"/>
    <col min="10268" max="10507" width="9.140625" style="175"/>
    <col min="10508" max="10508" width="8.85546875" style="175" customWidth="1"/>
    <col min="10509" max="10509" width="37.5703125" style="175" customWidth="1"/>
    <col min="10510" max="10510" width="10.5703125" style="175" customWidth="1"/>
    <col min="10511" max="10511" width="14" style="175" customWidth="1"/>
    <col min="10512" max="10512" width="15.85546875" style="175" bestFit="1" customWidth="1"/>
    <col min="10513" max="10513" width="10.85546875" style="175" bestFit="1" customWidth="1"/>
    <col min="10514" max="10514" width="12.140625" style="175" customWidth="1"/>
    <col min="10515" max="10515" width="11.85546875" style="175" customWidth="1"/>
    <col min="10516" max="10516" width="10.85546875" style="175" bestFit="1" customWidth="1"/>
    <col min="10517" max="10517" width="9.140625" style="175"/>
    <col min="10518" max="10518" width="12.7109375" style="175" customWidth="1"/>
    <col min="10519" max="10519" width="11.7109375" style="175" customWidth="1"/>
    <col min="10520" max="10520" width="12" style="175" customWidth="1"/>
    <col min="10521" max="10521" width="11.85546875" style="175" customWidth="1"/>
    <col min="10522" max="10523" width="13.28515625" style="175" customWidth="1"/>
    <col min="10524" max="10763" width="9.140625" style="175"/>
    <col min="10764" max="10764" width="8.85546875" style="175" customWidth="1"/>
    <col min="10765" max="10765" width="37.5703125" style="175" customWidth="1"/>
    <col min="10766" max="10766" width="10.5703125" style="175" customWidth="1"/>
    <col min="10767" max="10767" width="14" style="175" customWidth="1"/>
    <col min="10768" max="10768" width="15.85546875" style="175" bestFit="1" customWidth="1"/>
    <col min="10769" max="10769" width="10.85546875" style="175" bestFit="1" customWidth="1"/>
    <col min="10770" max="10770" width="12.140625" style="175" customWidth="1"/>
    <col min="10771" max="10771" width="11.85546875" style="175" customWidth="1"/>
    <col min="10772" max="10772" width="10.85546875" style="175" bestFit="1" customWidth="1"/>
    <col min="10773" max="10773" width="9.140625" style="175"/>
    <col min="10774" max="10774" width="12.7109375" style="175" customWidth="1"/>
    <col min="10775" max="10775" width="11.7109375" style="175" customWidth="1"/>
    <col min="10776" max="10776" width="12" style="175" customWidth="1"/>
    <col min="10777" max="10777" width="11.85546875" style="175" customWidth="1"/>
    <col min="10778" max="10779" width="13.28515625" style="175" customWidth="1"/>
    <col min="10780" max="11019" width="9.140625" style="175"/>
    <col min="11020" max="11020" width="8.85546875" style="175" customWidth="1"/>
    <col min="11021" max="11021" width="37.5703125" style="175" customWidth="1"/>
    <col min="11022" max="11022" width="10.5703125" style="175" customWidth="1"/>
    <col min="11023" max="11023" width="14" style="175" customWidth="1"/>
    <col min="11024" max="11024" width="15.85546875" style="175" bestFit="1" customWidth="1"/>
    <col min="11025" max="11025" width="10.85546875" style="175" bestFit="1" customWidth="1"/>
    <col min="11026" max="11026" width="12.140625" style="175" customWidth="1"/>
    <col min="11027" max="11027" width="11.85546875" style="175" customWidth="1"/>
    <col min="11028" max="11028" width="10.85546875" style="175" bestFit="1" customWidth="1"/>
    <col min="11029" max="11029" width="9.140625" style="175"/>
    <col min="11030" max="11030" width="12.7109375" style="175" customWidth="1"/>
    <col min="11031" max="11031" width="11.7109375" style="175" customWidth="1"/>
    <col min="11032" max="11032" width="12" style="175" customWidth="1"/>
    <col min="11033" max="11033" width="11.85546875" style="175" customWidth="1"/>
    <col min="11034" max="11035" width="13.28515625" style="175" customWidth="1"/>
    <col min="11036" max="11275" width="9.140625" style="175"/>
    <col min="11276" max="11276" width="8.85546875" style="175" customWidth="1"/>
    <col min="11277" max="11277" width="37.5703125" style="175" customWidth="1"/>
    <col min="11278" max="11278" width="10.5703125" style="175" customWidth="1"/>
    <col min="11279" max="11279" width="14" style="175" customWidth="1"/>
    <col min="11280" max="11280" width="15.85546875" style="175" bestFit="1" customWidth="1"/>
    <col min="11281" max="11281" width="10.85546875" style="175" bestFit="1" customWidth="1"/>
    <col min="11282" max="11282" width="12.140625" style="175" customWidth="1"/>
    <col min="11283" max="11283" width="11.85546875" style="175" customWidth="1"/>
    <col min="11284" max="11284" width="10.85546875" style="175" bestFit="1" customWidth="1"/>
    <col min="11285" max="11285" width="9.140625" style="175"/>
    <col min="11286" max="11286" width="12.7109375" style="175" customWidth="1"/>
    <col min="11287" max="11287" width="11.7109375" style="175" customWidth="1"/>
    <col min="11288" max="11288" width="12" style="175" customWidth="1"/>
    <col min="11289" max="11289" width="11.85546875" style="175" customWidth="1"/>
    <col min="11290" max="11291" width="13.28515625" style="175" customWidth="1"/>
    <col min="11292" max="11531" width="9.140625" style="175"/>
    <col min="11532" max="11532" width="8.85546875" style="175" customWidth="1"/>
    <col min="11533" max="11533" width="37.5703125" style="175" customWidth="1"/>
    <col min="11534" max="11534" width="10.5703125" style="175" customWidth="1"/>
    <col min="11535" max="11535" width="14" style="175" customWidth="1"/>
    <col min="11536" max="11536" width="15.85546875" style="175" bestFit="1" customWidth="1"/>
    <col min="11537" max="11537" width="10.85546875" style="175" bestFit="1" customWidth="1"/>
    <col min="11538" max="11538" width="12.140625" style="175" customWidth="1"/>
    <col min="11539" max="11539" width="11.85546875" style="175" customWidth="1"/>
    <col min="11540" max="11540" width="10.85546875" style="175" bestFit="1" customWidth="1"/>
    <col min="11541" max="11541" width="9.140625" style="175"/>
    <col min="11542" max="11542" width="12.7109375" style="175" customWidth="1"/>
    <col min="11543" max="11543" width="11.7109375" style="175" customWidth="1"/>
    <col min="11544" max="11544" width="12" style="175" customWidth="1"/>
    <col min="11545" max="11545" width="11.85546875" style="175" customWidth="1"/>
    <col min="11546" max="11547" width="13.28515625" style="175" customWidth="1"/>
    <col min="11548" max="11787" width="9.140625" style="175"/>
    <col min="11788" max="11788" width="8.85546875" style="175" customWidth="1"/>
    <col min="11789" max="11789" width="37.5703125" style="175" customWidth="1"/>
    <col min="11790" max="11790" width="10.5703125" style="175" customWidth="1"/>
    <col min="11791" max="11791" width="14" style="175" customWidth="1"/>
    <col min="11792" max="11792" width="15.85546875" style="175" bestFit="1" customWidth="1"/>
    <col min="11793" max="11793" width="10.85546875" style="175" bestFit="1" customWidth="1"/>
    <col min="11794" max="11794" width="12.140625" style="175" customWidth="1"/>
    <col min="11795" max="11795" width="11.85546875" style="175" customWidth="1"/>
    <col min="11796" max="11796" width="10.85546875" style="175" bestFit="1" customWidth="1"/>
    <col min="11797" max="11797" width="9.140625" style="175"/>
    <col min="11798" max="11798" width="12.7109375" style="175" customWidth="1"/>
    <col min="11799" max="11799" width="11.7109375" style="175" customWidth="1"/>
    <col min="11800" max="11800" width="12" style="175" customWidth="1"/>
    <col min="11801" max="11801" width="11.85546875" style="175" customWidth="1"/>
    <col min="11802" max="11803" width="13.28515625" style="175" customWidth="1"/>
    <col min="11804" max="12043" width="9.140625" style="175"/>
    <col min="12044" max="12044" width="8.85546875" style="175" customWidth="1"/>
    <col min="12045" max="12045" width="37.5703125" style="175" customWidth="1"/>
    <col min="12046" max="12046" width="10.5703125" style="175" customWidth="1"/>
    <col min="12047" max="12047" width="14" style="175" customWidth="1"/>
    <col min="12048" max="12048" width="15.85546875" style="175" bestFit="1" customWidth="1"/>
    <col min="12049" max="12049" width="10.85546875" style="175" bestFit="1" customWidth="1"/>
    <col min="12050" max="12050" width="12.140625" style="175" customWidth="1"/>
    <col min="12051" max="12051" width="11.85546875" style="175" customWidth="1"/>
    <col min="12052" max="12052" width="10.85546875" style="175" bestFit="1" customWidth="1"/>
    <col min="12053" max="12053" width="9.140625" style="175"/>
    <col min="12054" max="12054" width="12.7109375" style="175" customWidth="1"/>
    <col min="12055" max="12055" width="11.7109375" style="175" customWidth="1"/>
    <col min="12056" max="12056" width="12" style="175" customWidth="1"/>
    <col min="12057" max="12057" width="11.85546875" style="175" customWidth="1"/>
    <col min="12058" max="12059" width="13.28515625" style="175" customWidth="1"/>
    <col min="12060" max="12299" width="9.140625" style="175"/>
    <col min="12300" max="12300" width="8.85546875" style="175" customWidth="1"/>
    <col min="12301" max="12301" width="37.5703125" style="175" customWidth="1"/>
    <col min="12302" max="12302" width="10.5703125" style="175" customWidth="1"/>
    <col min="12303" max="12303" width="14" style="175" customWidth="1"/>
    <col min="12304" max="12304" width="15.85546875" style="175" bestFit="1" customWidth="1"/>
    <col min="12305" max="12305" width="10.85546875" style="175" bestFit="1" customWidth="1"/>
    <col min="12306" max="12306" width="12.140625" style="175" customWidth="1"/>
    <col min="12307" max="12307" width="11.85546875" style="175" customWidth="1"/>
    <col min="12308" max="12308" width="10.85546875" style="175" bestFit="1" customWidth="1"/>
    <col min="12309" max="12309" width="9.140625" style="175"/>
    <col min="12310" max="12310" width="12.7109375" style="175" customWidth="1"/>
    <col min="12311" max="12311" width="11.7109375" style="175" customWidth="1"/>
    <col min="12312" max="12312" width="12" style="175" customWidth="1"/>
    <col min="12313" max="12313" width="11.85546875" style="175" customWidth="1"/>
    <col min="12314" max="12315" width="13.28515625" style="175" customWidth="1"/>
    <col min="12316" max="12555" width="9.140625" style="175"/>
    <col min="12556" max="12556" width="8.85546875" style="175" customWidth="1"/>
    <col min="12557" max="12557" width="37.5703125" style="175" customWidth="1"/>
    <col min="12558" max="12558" width="10.5703125" style="175" customWidth="1"/>
    <col min="12559" max="12559" width="14" style="175" customWidth="1"/>
    <col min="12560" max="12560" width="15.85546875" style="175" bestFit="1" customWidth="1"/>
    <col min="12561" max="12561" width="10.85546875" style="175" bestFit="1" customWidth="1"/>
    <col min="12562" max="12562" width="12.140625" style="175" customWidth="1"/>
    <col min="12563" max="12563" width="11.85546875" style="175" customWidth="1"/>
    <col min="12564" max="12564" width="10.85546875" style="175" bestFit="1" customWidth="1"/>
    <col min="12565" max="12565" width="9.140625" style="175"/>
    <col min="12566" max="12566" width="12.7109375" style="175" customWidth="1"/>
    <col min="12567" max="12567" width="11.7109375" style="175" customWidth="1"/>
    <col min="12568" max="12568" width="12" style="175" customWidth="1"/>
    <col min="12569" max="12569" width="11.85546875" style="175" customWidth="1"/>
    <col min="12570" max="12571" width="13.28515625" style="175" customWidth="1"/>
    <col min="12572" max="12811" width="9.140625" style="175"/>
    <col min="12812" max="12812" width="8.85546875" style="175" customWidth="1"/>
    <col min="12813" max="12813" width="37.5703125" style="175" customWidth="1"/>
    <col min="12814" max="12814" width="10.5703125" style="175" customWidth="1"/>
    <col min="12815" max="12815" width="14" style="175" customWidth="1"/>
    <col min="12816" max="12816" width="15.85546875" style="175" bestFit="1" customWidth="1"/>
    <col min="12817" max="12817" width="10.85546875" style="175" bestFit="1" customWidth="1"/>
    <col min="12818" max="12818" width="12.140625" style="175" customWidth="1"/>
    <col min="12819" max="12819" width="11.85546875" style="175" customWidth="1"/>
    <col min="12820" max="12820" width="10.85546875" style="175" bestFit="1" customWidth="1"/>
    <col min="12821" max="12821" width="9.140625" style="175"/>
    <col min="12822" max="12822" width="12.7109375" style="175" customWidth="1"/>
    <col min="12823" max="12823" width="11.7109375" style="175" customWidth="1"/>
    <col min="12824" max="12824" width="12" style="175" customWidth="1"/>
    <col min="12825" max="12825" width="11.85546875" style="175" customWidth="1"/>
    <col min="12826" max="12827" width="13.28515625" style="175" customWidth="1"/>
    <col min="12828" max="13067" width="9.140625" style="175"/>
    <col min="13068" max="13068" width="8.85546875" style="175" customWidth="1"/>
    <col min="13069" max="13069" width="37.5703125" style="175" customWidth="1"/>
    <col min="13070" max="13070" width="10.5703125" style="175" customWidth="1"/>
    <col min="13071" max="13071" width="14" style="175" customWidth="1"/>
    <col min="13072" max="13072" width="15.85546875" style="175" bestFit="1" customWidth="1"/>
    <col min="13073" max="13073" width="10.85546875" style="175" bestFit="1" customWidth="1"/>
    <col min="13074" max="13074" width="12.140625" style="175" customWidth="1"/>
    <col min="13075" max="13075" width="11.85546875" style="175" customWidth="1"/>
    <col min="13076" max="13076" width="10.85546875" style="175" bestFit="1" customWidth="1"/>
    <col min="13077" max="13077" width="9.140625" style="175"/>
    <col min="13078" max="13078" width="12.7109375" style="175" customWidth="1"/>
    <col min="13079" max="13079" width="11.7109375" style="175" customWidth="1"/>
    <col min="13080" max="13080" width="12" style="175" customWidth="1"/>
    <col min="13081" max="13081" width="11.85546875" style="175" customWidth="1"/>
    <col min="13082" max="13083" width="13.28515625" style="175" customWidth="1"/>
    <col min="13084" max="13323" width="9.140625" style="175"/>
    <col min="13324" max="13324" width="8.85546875" style="175" customWidth="1"/>
    <col min="13325" max="13325" width="37.5703125" style="175" customWidth="1"/>
    <col min="13326" max="13326" width="10.5703125" style="175" customWidth="1"/>
    <col min="13327" max="13327" width="14" style="175" customWidth="1"/>
    <col min="13328" max="13328" width="15.85546875" style="175" bestFit="1" customWidth="1"/>
    <col min="13329" max="13329" width="10.85546875" style="175" bestFit="1" customWidth="1"/>
    <col min="13330" max="13330" width="12.140625" style="175" customWidth="1"/>
    <col min="13331" max="13331" width="11.85546875" style="175" customWidth="1"/>
    <col min="13332" max="13332" width="10.85546875" style="175" bestFit="1" customWidth="1"/>
    <col min="13333" max="13333" width="9.140625" style="175"/>
    <col min="13334" max="13334" width="12.7109375" style="175" customWidth="1"/>
    <col min="13335" max="13335" width="11.7109375" style="175" customWidth="1"/>
    <col min="13336" max="13336" width="12" style="175" customWidth="1"/>
    <col min="13337" max="13337" width="11.85546875" style="175" customWidth="1"/>
    <col min="13338" max="13339" width="13.28515625" style="175" customWidth="1"/>
    <col min="13340" max="13579" width="9.140625" style="175"/>
    <col min="13580" max="13580" width="8.85546875" style="175" customWidth="1"/>
    <col min="13581" max="13581" width="37.5703125" style="175" customWidth="1"/>
    <col min="13582" max="13582" width="10.5703125" style="175" customWidth="1"/>
    <col min="13583" max="13583" width="14" style="175" customWidth="1"/>
    <col min="13584" max="13584" width="15.85546875" style="175" bestFit="1" customWidth="1"/>
    <col min="13585" max="13585" width="10.85546875" style="175" bestFit="1" customWidth="1"/>
    <col min="13586" max="13586" width="12.140625" style="175" customWidth="1"/>
    <col min="13587" max="13587" width="11.85546875" style="175" customWidth="1"/>
    <col min="13588" max="13588" width="10.85546875" style="175" bestFit="1" customWidth="1"/>
    <col min="13589" max="13589" width="9.140625" style="175"/>
    <col min="13590" max="13590" width="12.7109375" style="175" customWidth="1"/>
    <col min="13591" max="13591" width="11.7109375" style="175" customWidth="1"/>
    <col min="13592" max="13592" width="12" style="175" customWidth="1"/>
    <col min="13593" max="13593" width="11.85546875" style="175" customWidth="1"/>
    <col min="13594" max="13595" width="13.28515625" style="175" customWidth="1"/>
    <col min="13596" max="13835" width="9.140625" style="175"/>
    <col min="13836" max="13836" width="8.85546875" style="175" customWidth="1"/>
    <col min="13837" max="13837" width="37.5703125" style="175" customWidth="1"/>
    <col min="13838" max="13838" width="10.5703125" style="175" customWidth="1"/>
    <col min="13839" max="13839" width="14" style="175" customWidth="1"/>
    <col min="13840" max="13840" width="15.85546875" style="175" bestFit="1" customWidth="1"/>
    <col min="13841" max="13841" width="10.85546875" style="175" bestFit="1" customWidth="1"/>
    <col min="13842" max="13842" width="12.140625" style="175" customWidth="1"/>
    <col min="13843" max="13843" width="11.85546875" style="175" customWidth="1"/>
    <col min="13844" max="13844" width="10.85546875" style="175" bestFit="1" customWidth="1"/>
    <col min="13845" max="13845" width="9.140625" style="175"/>
    <col min="13846" max="13846" width="12.7109375" style="175" customWidth="1"/>
    <col min="13847" max="13847" width="11.7109375" style="175" customWidth="1"/>
    <col min="13848" max="13848" width="12" style="175" customWidth="1"/>
    <col min="13849" max="13849" width="11.85546875" style="175" customWidth="1"/>
    <col min="13850" max="13851" width="13.28515625" style="175" customWidth="1"/>
    <col min="13852" max="14091" width="9.140625" style="175"/>
    <col min="14092" max="14092" width="8.85546875" style="175" customWidth="1"/>
    <col min="14093" max="14093" width="37.5703125" style="175" customWidth="1"/>
    <col min="14094" max="14094" width="10.5703125" style="175" customWidth="1"/>
    <col min="14095" max="14095" width="14" style="175" customWidth="1"/>
    <col min="14096" max="14096" width="15.85546875" style="175" bestFit="1" customWidth="1"/>
    <col min="14097" max="14097" width="10.85546875" style="175" bestFit="1" customWidth="1"/>
    <col min="14098" max="14098" width="12.140625" style="175" customWidth="1"/>
    <col min="14099" max="14099" width="11.85546875" style="175" customWidth="1"/>
    <col min="14100" max="14100" width="10.85546875" style="175" bestFit="1" customWidth="1"/>
    <col min="14101" max="14101" width="9.140625" style="175"/>
    <col min="14102" max="14102" width="12.7109375" style="175" customWidth="1"/>
    <col min="14103" max="14103" width="11.7109375" style="175" customWidth="1"/>
    <col min="14104" max="14104" width="12" style="175" customWidth="1"/>
    <col min="14105" max="14105" width="11.85546875" style="175" customWidth="1"/>
    <col min="14106" max="14107" width="13.28515625" style="175" customWidth="1"/>
    <col min="14108" max="14347" width="9.140625" style="175"/>
    <col min="14348" max="14348" width="8.85546875" style="175" customWidth="1"/>
    <col min="14349" max="14349" width="37.5703125" style="175" customWidth="1"/>
    <col min="14350" max="14350" width="10.5703125" style="175" customWidth="1"/>
    <col min="14351" max="14351" width="14" style="175" customWidth="1"/>
    <col min="14352" max="14352" width="15.85546875" style="175" bestFit="1" customWidth="1"/>
    <col min="14353" max="14353" width="10.85546875" style="175" bestFit="1" customWidth="1"/>
    <col min="14354" max="14354" width="12.140625" style="175" customWidth="1"/>
    <col min="14355" max="14355" width="11.85546875" style="175" customWidth="1"/>
    <col min="14356" max="14356" width="10.85546875" style="175" bestFit="1" customWidth="1"/>
    <col min="14357" max="14357" width="9.140625" style="175"/>
    <col min="14358" max="14358" width="12.7109375" style="175" customWidth="1"/>
    <col min="14359" max="14359" width="11.7109375" style="175" customWidth="1"/>
    <col min="14360" max="14360" width="12" style="175" customWidth="1"/>
    <col min="14361" max="14361" width="11.85546875" style="175" customWidth="1"/>
    <col min="14362" max="14363" width="13.28515625" style="175" customWidth="1"/>
    <col min="14364" max="14603" width="9.140625" style="175"/>
    <col min="14604" max="14604" width="8.85546875" style="175" customWidth="1"/>
    <col min="14605" max="14605" width="37.5703125" style="175" customWidth="1"/>
    <col min="14606" max="14606" width="10.5703125" style="175" customWidth="1"/>
    <col min="14607" max="14607" width="14" style="175" customWidth="1"/>
    <col min="14608" max="14608" width="15.85546875" style="175" bestFit="1" customWidth="1"/>
    <col min="14609" max="14609" width="10.85546875" style="175" bestFit="1" customWidth="1"/>
    <col min="14610" max="14610" width="12.140625" style="175" customWidth="1"/>
    <col min="14611" max="14611" width="11.85546875" style="175" customWidth="1"/>
    <col min="14612" max="14612" width="10.85546875" style="175" bestFit="1" customWidth="1"/>
    <col min="14613" max="14613" width="9.140625" style="175"/>
    <col min="14614" max="14614" width="12.7109375" style="175" customWidth="1"/>
    <col min="14615" max="14615" width="11.7109375" style="175" customWidth="1"/>
    <col min="14616" max="14616" width="12" style="175" customWidth="1"/>
    <col min="14617" max="14617" width="11.85546875" style="175" customWidth="1"/>
    <col min="14618" max="14619" width="13.28515625" style="175" customWidth="1"/>
    <col min="14620" max="14859" width="9.140625" style="175"/>
    <col min="14860" max="14860" width="8.85546875" style="175" customWidth="1"/>
    <col min="14861" max="14861" width="37.5703125" style="175" customWidth="1"/>
    <col min="14862" max="14862" width="10.5703125" style="175" customWidth="1"/>
    <col min="14863" max="14863" width="14" style="175" customWidth="1"/>
    <col min="14864" max="14864" width="15.85546875" style="175" bestFit="1" customWidth="1"/>
    <col min="14865" max="14865" width="10.85546875" style="175" bestFit="1" customWidth="1"/>
    <col min="14866" max="14866" width="12.140625" style="175" customWidth="1"/>
    <col min="14867" max="14867" width="11.85546875" style="175" customWidth="1"/>
    <col min="14868" max="14868" width="10.85546875" style="175" bestFit="1" customWidth="1"/>
    <col min="14869" max="14869" width="9.140625" style="175"/>
    <col min="14870" max="14870" width="12.7109375" style="175" customWidth="1"/>
    <col min="14871" max="14871" width="11.7109375" style="175" customWidth="1"/>
    <col min="14872" max="14872" width="12" style="175" customWidth="1"/>
    <col min="14873" max="14873" width="11.85546875" style="175" customWidth="1"/>
    <col min="14874" max="14875" width="13.28515625" style="175" customWidth="1"/>
    <col min="14876" max="15115" width="9.140625" style="175"/>
    <col min="15116" max="15116" width="8.85546875" style="175" customWidth="1"/>
    <col min="15117" max="15117" width="37.5703125" style="175" customWidth="1"/>
    <col min="15118" max="15118" width="10.5703125" style="175" customWidth="1"/>
    <col min="15119" max="15119" width="14" style="175" customWidth="1"/>
    <col min="15120" max="15120" width="15.85546875" style="175" bestFit="1" customWidth="1"/>
    <col min="15121" max="15121" width="10.85546875" style="175" bestFit="1" customWidth="1"/>
    <col min="15122" max="15122" width="12.140625" style="175" customWidth="1"/>
    <col min="15123" max="15123" width="11.85546875" style="175" customWidth="1"/>
    <col min="15124" max="15124" width="10.85546875" style="175" bestFit="1" customWidth="1"/>
    <col min="15125" max="15125" width="9.140625" style="175"/>
    <col min="15126" max="15126" width="12.7109375" style="175" customWidth="1"/>
    <col min="15127" max="15127" width="11.7109375" style="175" customWidth="1"/>
    <col min="15128" max="15128" width="12" style="175" customWidth="1"/>
    <col min="15129" max="15129" width="11.85546875" style="175" customWidth="1"/>
    <col min="15130" max="15131" width="13.28515625" style="175" customWidth="1"/>
    <col min="15132" max="15371" width="9.140625" style="175"/>
    <col min="15372" max="15372" width="8.85546875" style="175" customWidth="1"/>
    <col min="15373" max="15373" width="37.5703125" style="175" customWidth="1"/>
    <col min="15374" max="15374" width="10.5703125" style="175" customWidth="1"/>
    <col min="15375" max="15375" width="14" style="175" customWidth="1"/>
    <col min="15376" max="15376" width="15.85546875" style="175" bestFit="1" customWidth="1"/>
    <col min="15377" max="15377" width="10.85546875" style="175" bestFit="1" customWidth="1"/>
    <col min="15378" max="15378" width="12.140625" style="175" customWidth="1"/>
    <col min="15379" max="15379" width="11.85546875" style="175" customWidth="1"/>
    <col min="15380" max="15380" width="10.85546875" style="175" bestFit="1" customWidth="1"/>
    <col min="15381" max="15381" width="9.140625" style="175"/>
    <col min="15382" max="15382" width="12.7109375" style="175" customWidth="1"/>
    <col min="15383" max="15383" width="11.7109375" style="175" customWidth="1"/>
    <col min="15384" max="15384" width="12" style="175" customWidth="1"/>
    <col min="15385" max="15385" width="11.85546875" style="175" customWidth="1"/>
    <col min="15386" max="15387" width="13.28515625" style="175" customWidth="1"/>
    <col min="15388" max="15627" width="9.140625" style="175"/>
    <col min="15628" max="15628" width="8.85546875" style="175" customWidth="1"/>
    <col min="15629" max="15629" width="37.5703125" style="175" customWidth="1"/>
    <col min="15630" max="15630" width="10.5703125" style="175" customWidth="1"/>
    <col min="15631" max="15631" width="14" style="175" customWidth="1"/>
    <col min="15632" max="15632" width="15.85546875" style="175" bestFit="1" customWidth="1"/>
    <col min="15633" max="15633" width="10.85546875" style="175" bestFit="1" customWidth="1"/>
    <col min="15634" max="15634" width="12.140625" style="175" customWidth="1"/>
    <col min="15635" max="15635" width="11.85546875" style="175" customWidth="1"/>
    <col min="15636" max="15636" width="10.85546875" style="175" bestFit="1" customWidth="1"/>
    <col min="15637" max="15637" width="9.140625" style="175"/>
    <col min="15638" max="15638" width="12.7109375" style="175" customWidth="1"/>
    <col min="15639" max="15639" width="11.7109375" style="175" customWidth="1"/>
    <col min="15640" max="15640" width="12" style="175" customWidth="1"/>
    <col min="15641" max="15641" width="11.85546875" style="175" customWidth="1"/>
    <col min="15642" max="15643" width="13.28515625" style="175" customWidth="1"/>
    <col min="15644" max="15883" width="9.140625" style="175"/>
    <col min="15884" max="15884" width="8.85546875" style="175" customWidth="1"/>
    <col min="15885" max="15885" width="37.5703125" style="175" customWidth="1"/>
    <col min="15886" max="15886" width="10.5703125" style="175" customWidth="1"/>
    <col min="15887" max="15887" width="14" style="175" customWidth="1"/>
    <col min="15888" max="15888" width="15.85546875" style="175" bestFit="1" customWidth="1"/>
    <col min="15889" max="15889" width="10.85546875" style="175" bestFit="1" customWidth="1"/>
    <col min="15890" max="15890" width="12.140625" style="175" customWidth="1"/>
    <col min="15891" max="15891" width="11.85546875" style="175" customWidth="1"/>
    <col min="15892" max="15892" width="10.85546875" style="175" bestFit="1" customWidth="1"/>
    <col min="15893" max="15893" width="9.140625" style="175"/>
    <col min="15894" max="15894" width="12.7109375" style="175" customWidth="1"/>
    <col min="15895" max="15895" width="11.7109375" style="175" customWidth="1"/>
    <col min="15896" max="15896" width="12" style="175" customWidth="1"/>
    <col min="15897" max="15897" width="11.85546875" style="175" customWidth="1"/>
    <col min="15898" max="15899" width="13.28515625" style="175" customWidth="1"/>
    <col min="15900" max="16139" width="9.140625" style="175"/>
    <col min="16140" max="16140" width="8.85546875" style="175" customWidth="1"/>
    <col min="16141" max="16141" width="37.5703125" style="175" customWidth="1"/>
    <col min="16142" max="16142" width="10.5703125" style="175" customWidth="1"/>
    <col min="16143" max="16143" width="14" style="175" customWidth="1"/>
    <col min="16144" max="16144" width="15.85546875" style="175" bestFit="1" customWidth="1"/>
    <col min="16145" max="16145" width="10.85546875" style="175" bestFit="1" customWidth="1"/>
    <col min="16146" max="16146" width="12.140625" style="175" customWidth="1"/>
    <col min="16147" max="16147" width="11.85546875" style="175" customWidth="1"/>
    <col min="16148" max="16148" width="10.85546875" style="175" bestFit="1" customWidth="1"/>
    <col min="16149" max="16149" width="9.140625" style="175"/>
    <col min="16150" max="16150" width="12.7109375" style="175" customWidth="1"/>
    <col min="16151" max="16151" width="11.7109375" style="175" customWidth="1"/>
    <col min="16152" max="16152" width="12" style="175" customWidth="1"/>
    <col min="16153" max="16153" width="11.85546875" style="175" customWidth="1"/>
    <col min="16154" max="16155" width="13.28515625" style="175" customWidth="1"/>
    <col min="16156" max="16384" width="9.140625" style="175"/>
  </cols>
  <sheetData>
    <row r="1" spans="1:28" ht="15.75" x14ac:dyDescent="0.25">
      <c r="A1" s="504" t="s">
        <v>351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</row>
    <row r="2" spans="1:28" x14ac:dyDescent="0.25">
      <c r="J2" s="175" t="s">
        <v>352</v>
      </c>
    </row>
    <row r="3" spans="1:28" ht="15" customHeight="1" x14ac:dyDescent="0.25">
      <c r="A3" s="501" t="s">
        <v>303</v>
      </c>
      <c r="B3" s="501" t="s">
        <v>0</v>
      </c>
      <c r="C3" s="505" t="s">
        <v>226</v>
      </c>
      <c r="D3" s="505" t="s">
        <v>353</v>
      </c>
      <c r="E3" s="505" t="s">
        <v>180</v>
      </c>
      <c r="F3" s="501" t="s">
        <v>354</v>
      </c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8" x14ac:dyDescent="0.25">
      <c r="A4" s="501"/>
      <c r="B4" s="501"/>
      <c r="C4" s="506"/>
      <c r="D4" s="506"/>
      <c r="E4" s="506"/>
      <c r="F4" s="501" t="s">
        <v>355</v>
      </c>
      <c r="G4" s="498" t="s">
        <v>356</v>
      </c>
      <c r="H4" s="499"/>
      <c r="I4" s="499"/>
      <c r="J4" s="499"/>
      <c r="K4" s="499"/>
      <c r="L4" s="499"/>
      <c r="M4" s="499"/>
      <c r="N4" s="499"/>
      <c r="O4" s="499"/>
      <c r="P4" s="500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</row>
    <row r="5" spans="1:28" x14ac:dyDescent="0.25">
      <c r="A5" s="501"/>
      <c r="B5" s="501"/>
      <c r="C5" s="506"/>
      <c r="D5" s="506"/>
      <c r="E5" s="506"/>
      <c r="F5" s="501"/>
      <c r="G5" s="501" t="s">
        <v>357</v>
      </c>
      <c r="H5" s="501" t="s">
        <v>358</v>
      </c>
      <c r="I5" s="502" t="s">
        <v>237</v>
      </c>
      <c r="J5" s="503"/>
      <c r="K5" s="501" t="s">
        <v>359</v>
      </c>
      <c r="L5" s="502" t="s">
        <v>237</v>
      </c>
      <c r="M5" s="503"/>
      <c r="N5" s="501" t="s">
        <v>360</v>
      </c>
      <c r="O5" s="501" t="s">
        <v>361</v>
      </c>
      <c r="P5" s="501" t="s">
        <v>362</v>
      </c>
      <c r="Q5" s="498" t="s">
        <v>360</v>
      </c>
      <c r="R5" s="499"/>
      <c r="S5" s="499"/>
      <c r="T5" s="499"/>
      <c r="U5" s="499"/>
      <c r="V5" s="499"/>
      <c r="W5" s="499"/>
      <c r="X5" s="499"/>
      <c r="Y5" s="499"/>
      <c r="Z5" s="499"/>
      <c r="AA5" s="500"/>
    </row>
    <row r="6" spans="1:28" ht="80.25" customHeight="1" x14ac:dyDescent="0.25">
      <c r="A6" s="501"/>
      <c r="B6" s="501"/>
      <c r="C6" s="507"/>
      <c r="D6" s="507"/>
      <c r="E6" s="507"/>
      <c r="F6" s="501"/>
      <c r="G6" s="501"/>
      <c r="H6" s="501"/>
      <c r="I6" s="200" t="s">
        <v>363</v>
      </c>
      <c r="J6" s="201" t="s">
        <v>364</v>
      </c>
      <c r="K6" s="501"/>
      <c r="L6" s="200" t="s">
        <v>363</v>
      </c>
      <c r="M6" s="201" t="s">
        <v>364</v>
      </c>
      <c r="N6" s="501"/>
      <c r="O6" s="501"/>
      <c r="P6" s="501"/>
      <c r="Q6" s="201">
        <v>70190</v>
      </c>
      <c r="R6" s="201">
        <v>70200</v>
      </c>
      <c r="S6" s="201">
        <v>74500</v>
      </c>
      <c r="T6" s="201">
        <v>52100</v>
      </c>
      <c r="U6" s="201" t="s">
        <v>365</v>
      </c>
      <c r="V6" s="201" t="s">
        <v>366</v>
      </c>
      <c r="W6" s="201" t="s">
        <v>367</v>
      </c>
      <c r="X6" s="201">
        <v>70330</v>
      </c>
      <c r="Y6" s="201">
        <v>74510</v>
      </c>
      <c r="Z6" s="201" t="s">
        <v>368</v>
      </c>
      <c r="AA6" s="201" t="s">
        <v>369</v>
      </c>
    </row>
    <row r="7" spans="1:28" s="207" customFormat="1" x14ac:dyDescent="0.25">
      <c r="A7" s="202" t="s">
        <v>370</v>
      </c>
      <c r="B7" s="203" t="s">
        <v>371</v>
      </c>
      <c r="C7" s="203"/>
      <c r="D7" s="202"/>
      <c r="E7" s="204"/>
      <c r="F7" s="205">
        <f>G7+N7+O7+P7</f>
        <v>29479459.683626562</v>
      </c>
      <c r="G7" s="205">
        <f>G9+G10+G11+G12+G13+G14</f>
        <v>28541159.683626562</v>
      </c>
      <c r="H7" s="205">
        <f t="shared" ref="H7" si="0">I7+J7</f>
        <v>0</v>
      </c>
      <c r="I7" s="205">
        <f>I9+I10+I13+I14+I11</f>
        <v>0</v>
      </c>
      <c r="J7" s="205"/>
      <c r="K7" s="205">
        <f t="shared" ref="K7" si="1">L7+M7</f>
        <v>28541159.683626562</v>
      </c>
      <c r="L7" s="205">
        <f>L9+L10+L11+L12+L13+L14</f>
        <v>28541159.683626562</v>
      </c>
      <c r="M7" s="205"/>
      <c r="N7" s="205">
        <f>N9+N10+N11+N12+N13+N14</f>
        <v>938300</v>
      </c>
      <c r="O7" s="205">
        <f>O9+O10+O11+O12+O13+O14</f>
        <v>0</v>
      </c>
      <c r="P7" s="205">
        <f>P9+P10+P11+P12+P13+P14</f>
        <v>0</v>
      </c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6"/>
    </row>
    <row r="8" spans="1:28" x14ac:dyDescent="0.25">
      <c r="A8" s="208"/>
      <c r="B8" s="208" t="s">
        <v>356</v>
      </c>
      <c r="C8" s="208"/>
      <c r="D8" s="201"/>
      <c r="E8" s="209"/>
      <c r="F8" s="210"/>
      <c r="G8" s="210"/>
      <c r="H8" s="210"/>
      <c r="I8" s="211"/>
      <c r="J8" s="210"/>
      <c r="K8" s="210"/>
      <c r="L8" s="211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</row>
    <row r="9" spans="1:28" x14ac:dyDescent="0.25">
      <c r="A9" s="208"/>
      <c r="B9" s="208" t="s">
        <v>159</v>
      </c>
      <c r="C9" s="208"/>
      <c r="D9" s="201">
        <v>111</v>
      </c>
      <c r="E9" s="209">
        <v>211</v>
      </c>
      <c r="F9" s="210">
        <f t="shared" ref="F9:F13" si="2">G9+N9+O9+P9</f>
        <v>22230238.981280003</v>
      </c>
      <c r="G9" s="210">
        <f>'Расчеты ГЗ'!BW24-G10</f>
        <v>21759538.981280003</v>
      </c>
      <c r="H9" s="210">
        <f t="shared" ref="H9:H14" si="3">I9+J9</f>
        <v>0</v>
      </c>
      <c r="I9" s="211"/>
      <c r="J9" s="210"/>
      <c r="K9" s="210">
        <f>L9+M9</f>
        <v>21759538.981280003</v>
      </c>
      <c r="L9" s="211">
        <f>G9-I9</f>
        <v>21759538.981280003</v>
      </c>
      <c r="M9" s="210"/>
      <c r="N9" s="210">
        <f>S9+W9+X9</f>
        <v>470700</v>
      </c>
      <c r="O9" s="210"/>
      <c r="P9" s="210"/>
      <c r="Q9" s="210"/>
      <c r="R9" s="210"/>
      <c r="S9" s="210">
        <f>'Расчеты (Иные)'!BW17</f>
        <v>345400</v>
      </c>
      <c r="T9" s="210"/>
      <c r="U9" s="210"/>
      <c r="V9" s="210"/>
      <c r="W9" s="210">
        <f>'Расчеты (Иные)'!CJ162</f>
        <v>125300</v>
      </c>
      <c r="X9" s="210"/>
      <c r="Y9" s="210"/>
      <c r="Z9" s="210"/>
      <c r="AA9" s="210"/>
    </row>
    <row r="10" spans="1:28" ht="25.5" x14ac:dyDescent="0.25">
      <c r="A10" s="208"/>
      <c r="B10" s="208" t="s">
        <v>372</v>
      </c>
      <c r="C10" s="208"/>
      <c r="D10" s="201">
        <v>111</v>
      </c>
      <c r="E10" s="209">
        <v>266</v>
      </c>
      <c r="F10" s="210">
        <f t="shared" si="2"/>
        <v>120000</v>
      </c>
      <c r="G10" s="210">
        <v>120000</v>
      </c>
      <c r="H10" s="210">
        <f t="shared" si="3"/>
        <v>0</v>
      </c>
      <c r="I10" s="211"/>
      <c r="J10" s="210"/>
      <c r="K10" s="210">
        <f t="shared" ref="K10:K14" si="4">L10+M10</f>
        <v>120000</v>
      </c>
      <c r="L10" s="211">
        <f>G10-I10</f>
        <v>120000</v>
      </c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</row>
    <row r="11" spans="1:28" ht="25.5" x14ac:dyDescent="0.25">
      <c r="A11" s="208"/>
      <c r="B11" s="208" t="s">
        <v>373</v>
      </c>
      <c r="C11" s="208"/>
      <c r="D11" s="201">
        <v>112</v>
      </c>
      <c r="E11" s="209" t="s">
        <v>160</v>
      </c>
      <c r="F11" s="210">
        <f t="shared" si="2"/>
        <v>54000</v>
      </c>
      <c r="G11" s="210">
        <f>'Расчеты ГЗ'!CJ9</f>
        <v>54000</v>
      </c>
      <c r="H11" s="210">
        <f>I11+J11</f>
        <v>0</v>
      </c>
      <c r="I11" s="211"/>
      <c r="J11" s="210"/>
      <c r="K11" s="210">
        <f t="shared" si="4"/>
        <v>54000</v>
      </c>
      <c r="L11" s="211">
        <f>G11-I11</f>
        <v>54000</v>
      </c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</row>
    <row r="12" spans="1:28" x14ac:dyDescent="0.25">
      <c r="A12" s="208"/>
      <c r="B12" s="208" t="s">
        <v>374</v>
      </c>
      <c r="C12" s="208"/>
      <c r="D12" s="201">
        <v>112</v>
      </c>
      <c r="E12" s="209" t="s">
        <v>138</v>
      </c>
      <c r="F12" s="210">
        <f t="shared" si="2"/>
        <v>325400</v>
      </c>
      <c r="G12" s="210"/>
      <c r="H12" s="210">
        <f>I12+J12</f>
        <v>0</v>
      </c>
      <c r="I12" s="211"/>
      <c r="J12" s="210"/>
      <c r="K12" s="210">
        <f t="shared" si="4"/>
        <v>0</v>
      </c>
      <c r="L12" s="211"/>
      <c r="M12" s="210"/>
      <c r="N12" s="210">
        <f>Q12</f>
        <v>325400</v>
      </c>
      <c r="O12" s="210"/>
      <c r="P12" s="210"/>
      <c r="Q12" s="210">
        <f>'Расчеты (Иные)'!CJ117</f>
        <v>325400</v>
      </c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197">
        <v>7019</v>
      </c>
    </row>
    <row r="13" spans="1:28" x14ac:dyDescent="0.25">
      <c r="A13" s="208"/>
      <c r="B13" s="208" t="s">
        <v>375</v>
      </c>
      <c r="C13" s="208"/>
      <c r="D13" s="201">
        <v>112</v>
      </c>
      <c r="E13" s="209">
        <v>212.226</v>
      </c>
      <c r="F13" s="210">
        <f t="shared" si="2"/>
        <v>0</v>
      </c>
      <c r="G13" s="210">
        <f>'Расчеты ГЗ'!CJ6+'Расчеты ГЗ'!CJ7+'Расчеты ГЗ'!CJ8</f>
        <v>0</v>
      </c>
      <c r="H13" s="210">
        <f t="shared" si="3"/>
        <v>0</v>
      </c>
      <c r="I13" s="211"/>
      <c r="J13" s="210"/>
      <c r="K13" s="210">
        <f t="shared" si="4"/>
        <v>0</v>
      </c>
      <c r="L13" s="211">
        <f>G13-I13</f>
        <v>0</v>
      </c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</row>
    <row r="14" spans="1:28" x14ac:dyDescent="0.25">
      <c r="A14" s="208"/>
      <c r="B14" s="208" t="s">
        <v>376</v>
      </c>
      <c r="C14" s="208"/>
      <c r="D14" s="201">
        <v>119</v>
      </c>
      <c r="E14" s="209">
        <v>213</v>
      </c>
      <c r="F14" s="210">
        <f>G14+N14+O14+P14</f>
        <v>6749820.7023465596</v>
      </c>
      <c r="G14" s="210">
        <f>'Расчеты ГЗ'!CM36</f>
        <v>6607620.7023465596</v>
      </c>
      <c r="H14" s="210">
        <f t="shared" si="3"/>
        <v>0</v>
      </c>
      <c r="I14" s="211"/>
      <c r="J14" s="210"/>
      <c r="K14" s="210">
        <f t="shared" si="4"/>
        <v>6607620.7023465596</v>
      </c>
      <c r="L14" s="211">
        <f>G14-I14</f>
        <v>6607620.7023465596</v>
      </c>
      <c r="M14" s="210"/>
      <c r="N14" s="210">
        <f>S14+W14+X14</f>
        <v>142200</v>
      </c>
      <c r="O14" s="210"/>
      <c r="P14" s="210"/>
      <c r="Q14" s="210"/>
      <c r="R14" s="210"/>
      <c r="S14" s="210">
        <f>'Расчеты (Иные)'!CM29</f>
        <v>104300</v>
      </c>
      <c r="T14" s="210"/>
      <c r="U14" s="210"/>
      <c r="V14" s="210"/>
      <c r="W14" s="210">
        <f>'Расчеты (Иные)'!CJ163</f>
        <v>37900</v>
      </c>
      <c r="X14" s="210"/>
      <c r="Y14" s="210"/>
      <c r="Z14" s="210"/>
      <c r="AA14" s="210"/>
    </row>
    <row r="15" spans="1:28" s="207" customFormat="1" x14ac:dyDescent="0.25">
      <c r="A15" s="212" t="s">
        <v>377</v>
      </c>
      <c r="B15" s="213" t="s">
        <v>378</v>
      </c>
      <c r="C15" s="213"/>
      <c r="D15" s="212">
        <v>244</v>
      </c>
      <c r="E15" s="204"/>
      <c r="F15" s="205">
        <f t="shared" ref="F15:H15" si="5">F17+F19+F20+F25+F26+F32+F36</f>
        <v>9671101.8800000008</v>
      </c>
      <c r="G15" s="205">
        <f>G17+G19+G25+G26+G32</f>
        <v>2243739.88</v>
      </c>
      <c r="H15" s="205">
        <f t="shared" si="5"/>
        <v>0</v>
      </c>
      <c r="I15" s="205">
        <f>I17+I19+I20+I25+I26+I32+I36</f>
        <v>0</v>
      </c>
      <c r="J15" s="205">
        <f t="shared" ref="J15:P15" si="6">J17+J19+J20+J25+J26+J32+J36</f>
        <v>0</v>
      </c>
      <c r="K15" s="205">
        <f t="shared" si="6"/>
        <v>2243739.88</v>
      </c>
      <c r="L15" s="205">
        <f>L17+L19+L25+L26+L32</f>
        <v>2243739.88</v>
      </c>
      <c r="M15" s="205">
        <f t="shared" si="6"/>
        <v>0</v>
      </c>
      <c r="N15" s="205">
        <f>N17+N19+N20+N25+N26+N32+N36</f>
        <v>7427362</v>
      </c>
      <c r="O15" s="205">
        <f t="shared" si="6"/>
        <v>0</v>
      </c>
      <c r="P15" s="205">
        <f t="shared" si="6"/>
        <v>0</v>
      </c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6"/>
    </row>
    <row r="16" spans="1:28" x14ac:dyDescent="0.25">
      <c r="A16" s="208"/>
      <c r="B16" s="208" t="s">
        <v>356</v>
      </c>
      <c r="C16" s="208"/>
      <c r="D16" s="201"/>
      <c r="E16" s="209"/>
      <c r="F16" s="210"/>
      <c r="G16" s="210"/>
      <c r="H16" s="210"/>
      <c r="I16" s="211"/>
      <c r="J16" s="210"/>
      <c r="K16" s="210"/>
      <c r="L16" s="211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</row>
    <row r="17" spans="1:28" x14ac:dyDescent="0.25">
      <c r="A17" s="208"/>
      <c r="B17" s="208" t="s">
        <v>379</v>
      </c>
      <c r="C17" s="208"/>
      <c r="D17" s="201"/>
      <c r="E17" s="209">
        <v>221</v>
      </c>
      <c r="F17" s="210">
        <f>G17+N17+O17+P17</f>
        <v>236409.82</v>
      </c>
      <c r="G17" s="210">
        <f>'Расчеты ГЗ'!CL60</f>
        <v>236409.82</v>
      </c>
      <c r="H17" s="210">
        <f>I17+J17</f>
        <v>0</v>
      </c>
      <c r="I17" s="211"/>
      <c r="J17" s="210"/>
      <c r="K17" s="210">
        <f>L17+M17</f>
        <v>236409.82</v>
      </c>
      <c r="L17" s="211">
        <f>G17-I17</f>
        <v>236409.82</v>
      </c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</row>
    <row r="18" spans="1:28" x14ac:dyDescent="0.25">
      <c r="A18" s="208"/>
      <c r="B18" s="208" t="s">
        <v>380</v>
      </c>
      <c r="C18" s="208"/>
      <c r="D18" s="201"/>
      <c r="E18" s="209"/>
      <c r="F18" s="210"/>
      <c r="G18" s="210"/>
      <c r="H18" s="210"/>
      <c r="I18" s="211"/>
      <c r="J18" s="210"/>
      <c r="K18" s="210"/>
      <c r="L18" s="211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</row>
    <row r="19" spans="1:28" x14ac:dyDescent="0.25">
      <c r="A19" s="208"/>
      <c r="B19" s="208" t="s">
        <v>40</v>
      </c>
      <c r="C19" s="208"/>
      <c r="D19" s="201"/>
      <c r="E19" s="209">
        <v>222</v>
      </c>
      <c r="F19" s="210">
        <f>G19+N19+O19+P19</f>
        <v>1100</v>
      </c>
      <c r="G19" s="210">
        <f>'Расчеты ГЗ'!CJ67</f>
        <v>0</v>
      </c>
      <c r="H19" s="210">
        <f>I19+J19</f>
        <v>0</v>
      </c>
      <c r="I19" s="211"/>
      <c r="J19" s="210"/>
      <c r="K19" s="210">
        <f>L19+M19</f>
        <v>0</v>
      </c>
      <c r="L19" s="211">
        <f>G19-I19</f>
        <v>0</v>
      </c>
      <c r="M19" s="210"/>
      <c r="N19" s="210">
        <v>1100</v>
      </c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</row>
    <row r="20" spans="1:28" x14ac:dyDescent="0.25">
      <c r="A20" s="208"/>
      <c r="B20" s="208" t="s">
        <v>381</v>
      </c>
      <c r="C20" s="208"/>
      <c r="D20" s="201"/>
      <c r="E20" s="209">
        <v>223</v>
      </c>
      <c r="F20" s="210">
        <f>G20+N20+O20+P20</f>
        <v>6921400</v>
      </c>
      <c r="G20" s="210"/>
      <c r="H20" s="210">
        <f>I20+J20</f>
        <v>0</v>
      </c>
      <c r="I20" s="211"/>
      <c r="J20" s="210"/>
      <c r="K20" s="210"/>
      <c r="L20" s="211"/>
      <c r="M20" s="210"/>
      <c r="N20" s="210">
        <f>SUM(N22:N24)</f>
        <v>6921400</v>
      </c>
      <c r="O20" s="210">
        <f>SUM(O22:O24)</f>
        <v>0</v>
      </c>
      <c r="P20" s="210">
        <f>SUM(P22:P24)</f>
        <v>0</v>
      </c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197">
        <v>7020</v>
      </c>
    </row>
    <row r="21" spans="1:28" x14ac:dyDescent="0.25">
      <c r="A21" s="208"/>
      <c r="B21" s="208" t="s">
        <v>380</v>
      </c>
      <c r="C21" s="208"/>
      <c r="D21" s="201"/>
      <c r="E21" s="209"/>
      <c r="F21" s="210"/>
      <c r="G21" s="210"/>
      <c r="H21" s="210"/>
      <c r="I21" s="211"/>
      <c r="J21" s="210"/>
      <c r="K21" s="210"/>
      <c r="L21" s="211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</row>
    <row r="22" spans="1:28" x14ac:dyDescent="0.25">
      <c r="A22" s="208"/>
      <c r="B22" s="214" t="s">
        <v>382</v>
      </c>
      <c r="C22" s="208"/>
      <c r="D22" s="201"/>
      <c r="E22" s="209" t="s">
        <v>139</v>
      </c>
      <c r="F22" s="210">
        <f t="shared" ref="F22:F24" si="7">G22+N22+O22+P22</f>
        <v>6229166</v>
      </c>
      <c r="G22" s="210"/>
      <c r="H22" s="210"/>
      <c r="I22" s="211"/>
      <c r="J22" s="210"/>
      <c r="K22" s="210"/>
      <c r="L22" s="211"/>
      <c r="M22" s="210"/>
      <c r="N22" s="210">
        <f>R22</f>
        <v>6229166</v>
      </c>
      <c r="O22" s="210"/>
      <c r="P22" s="210"/>
      <c r="Q22" s="210"/>
      <c r="R22" s="210">
        <f>'Расчеты (Иные)'!CL134</f>
        <v>6229166</v>
      </c>
      <c r="S22" s="210"/>
      <c r="T22" s="210"/>
      <c r="U22" s="210"/>
      <c r="V22" s="210"/>
      <c r="W22" s="210"/>
      <c r="X22" s="210"/>
      <c r="Y22" s="210"/>
      <c r="Z22" s="210"/>
      <c r="AA22" s="210"/>
    </row>
    <row r="23" spans="1:28" x14ac:dyDescent="0.25">
      <c r="A23" s="208"/>
      <c r="B23" s="214" t="s">
        <v>383</v>
      </c>
      <c r="C23" s="208"/>
      <c r="D23" s="201"/>
      <c r="E23" s="209" t="s">
        <v>140</v>
      </c>
      <c r="F23" s="210">
        <f t="shared" si="7"/>
        <v>692234</v>
      </c>
      <c r="G23" s="210"/>
      <c r="H23" s="210"/>
      <c r="I23" s="211"/>
      <c r="J23" s="210"/>
      <c r="K23" s="210"/>
      <c r="L23" s="211"/>
      <c r="M23" s="210"/>
      <c r="N23" s="210">
        <f t="shared" ref="N23:N24" si="8">R23</f>
        <v>692234</v>
      </c>
      <c r="O23" s="210"/>
      <c r="P23" s="210"/>
      <c r="Q23" s="210"/>
      <c r="R23" s="210">
        <f>'Расчеты (Иные)'!CL135</f>
        <v>692234</v>
      </c>
      <c r="S23" s="210"/>
      <c r="T23" s="210"/>
      <c r="U23" s="210"/>
      <c r="V23" s="210"/>
      <c r="W23" s="210"/>
      <c r="X23" s="210"/>
      <c r="Y23" s="210"/>
      <c r="Z23" s="210"/>
      <c r="AA23" s="210"/>
    </row>
    <row r="24" spans="1:28" x14ac:dyDescent="0.25">
      <c r="A24" s="208"/>
      <c r="B24" s="214" t="s">
        <v>384</v>
      </c>
      <c r="C24" s="208"/>
      <c r="D24" s="201"/>
      <c r="E24" s="209" t="s">
        <v>141</v>
      </c>
      <c r="F24" s="210">
        <f t="shared" si="7"/>
        <v>0</v>
      </c>
      <c r="G24" s="210"/>
      <c r="H24" s="210"/>
      <c r="I24" s="211"/>
      <c r="J24" s="210"/>
      <c r="K24" s="210"/>
      <c r="L24" s="211"/>
      <c r="M24" s="210"/>
      <c r="N24" s="210">
        <f t="shared" si="8"/>
        <v>0</v>
      </c>
      <c r="O24" s="210"/>
      <c r="P24" s="210"/>
      <c r="Q24" s="210"/>
      <c r="R24" s="210">
        <f>'Расчеты (Иные)'!CL136</f>
        <v>0</v>
      </c>
      <c r="S24" s="210"/>
      <c r="T24" s="210"/>
      <c r="U24" s="210"/>
      <c r="V24" s="210"/>
      <c r="W24" s="210"/>
      <c r="X24" s="210"/>
      <c r="Y24" s="210"/>
      <c r="Z24" s="210"/>
      <c r="AA24" s="210"/>
    </row>
    <row r="25" spans="1:28" x14ac:dyDescent="0.25">
      <c r="A25" s="208"/>
      <c r="B25" s="208" t="s">
        <v>385</v>
      </c>
      <c r="C25" s="208"/>
      <c r="D25" s="201"/>
      <c r="E25" s="209">
        <v>224</v>
      </c>
      <c r="F25" s="210">
        <f>G25+N25+O25+P25</f>
        <v>0</v>
      </c>
      <c r="G25" s="210"/>
      <c r="H25" s="210"/>
      <c r="I25" s="211"/>
      <c r="J25" s="210"/>
      <c r="K25" s="210"/>
      <c r="L25" s="211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</row>
    <row r="26" spans="1:28" ht="25.5" x14ac:dyDescent="0.25">
      <c r="A26" s="208"/>
      <c r="B26" s="208" t="s">
        <v>386</v>
      </c>
      <c r="C26" s="208"/>
      <c r="D26" s="201"/>
      <c r="E26" s="209">
        <v>225</v>
      </c>
      <c r="F26" s="210">
        <f>G26+N26+O26+P26</f>
        <v>1477389.0599999998</v>
      </c>
      <c r="G26" s="210">
        <f>G28+G29+G30</f>
        <v>1477389.0599999998</v>
      </c>
      <c r="H26" s="210">
        <f>I26+J26</f>
        <v>0</v>
      </c>
      <c r="I26" s="211">
        <f>SUM(I28:I30)</f>
        <v>0</v>
      </c>
      <c r="J26" s="210"/>
      <c r="K26" s="210">
        <f>L26+M26</f>
        <v>1477389.0599999998</v>
      </c>
      <c r="L26" s="211">
        <f>SUM(L28:L30)</f>
        <v>1477389.0599999998</v>
      </c>
      <c r="M26" s="210"/>
      <c r="N26" s="210">
        <f>N28+N29+N30+N31</f>
        <v>0</v>
      </c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</row>
    <row r="27" spans="1:28" x14ac:dyDescent="0.25">
      <c r="A27" s="208"/>
      <c r="B27" s="208" t="s">
        <v>380</v>
      </c>
      <c r="C27" s="208"/>
      <c r="D27" s="201"/>
      <c r="E27" s="209"/>
      <c r="F27" s="210"/>
      <c r="G27" s="210"/>
      <c r="H27" s="210"/>
      <c r="I27" s="211"/>
      <c r="J27" s="210"/>
      <c r="K27" s="210"/>
      <c r="L27" s="211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</row>
    <row r="28" spans="1:28" x14ac:dyDescent="0.25">
      <c r="A28" s="208"/>
      <c r="B28" s="214" t="s">
        <v>387</v>
      </c>
      <c r="C28" s="208"/>
      <c r="D28" s="201"/>
      <c r="E28" s="209" t="s">
        <v>178</v>
      </c>
      <c r="F28" s="210">
        <f t="shared" ref="F28:F32" si="9">G28+N28+O28+P28</f>
        <v>126000</v>
      </c>
      <c r="G28" s="210">
        <f>'Расчеты ГЗ'!CJ81</f>
        <v>126000</v>
      </c>
      <c r="H28" s="210">
        <f t="shared" ref="H28:H32" si="10">I28+J28</f>
        <v>0</v>
      </c>
      <c r="I28" s="211"/>
      <c r="J28" s="210"/>
      <c r="K28" s="210">
        <f t="shared" ref="K28:K32" si="11">L28+M28</f>
        <v>126000</v>
      </c>
      <c r="L28" s="211">
        <f>G28-I28</f>
        <v>126000</v>
      </c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</row>
    <row r="29" spans="1:28" x14ac:dyDescent="0.25">
      <c r="A29" s="208"/>
      <c r="B29" s="214" t="s">
        <v>388</v>
      </c>
      <c r="C29" s="208"/>
      <c r="D29" s="201"/>
      <c r="E29" s="209" t="s">
        <v>136</v>
      </c>
      <c r="F29" s="210">
        <f t="shared" si="9"/>
        <v>1351389.0599999998</v>
      </c>
      <c r="G29" s="210">
        <f>'Расчеты ГЗ'!CJ82+'Расчеты ГЗ'!CJ83+'Расчеты ГЗ'!CJ84</f>
        <v>1351389.0599999998</v>
      </c>
      <c r="H29" s="210">
        <f t="shared" si="10"/>
        <v>0</v>
      </c>
      <c r="I29" s="211"/>
      <c r="J29" s="210"/>
      <c r="K29" s="210">
        <f t="shared" si="11"/>
        <v>1351389.0599999998</v>
      </c>
      <c r="L29" s="211">
        <f>G29-I29</f>
        <v>1351389.0599999998</v>
      </c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</row>
    <row r="30" spans="1:28" x14ac:dyDescent="0.25">
      <c r="A30" s="208"/>
      <c r="B30" s="214" t="s">
        <v>389</v>
      </c>
      <c r="C30" s="208"/>
      <c r="D30" s="201"/>
      <c r="E30" s="209" t="s">
        <v>146</v>
      </c>
      <c r="F30" s="210">
        <f t="shared" si="9"/>
        <v>0</v>
      </c>
      <c r="G30" s="210">
        <f>'Расчеты ГЗ'!CJ85</f>
        <v>0</v>
      </c>
      <c r="H30" s="210"/>
      <c r="I30" s="211"/>
      <c r="J30" s="210"/>
      <c r="K30" s="210"/>
      <c r="L30" s="211">
        <f t="shared" ref="L30:L31" si="12">G30-I30</f>
        <v>0</v>
      </c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</row>
    <row r="31" spans="1:28" x14ac:dyDescent="0.25">
      <c r="A31" s="208"/>
      <c r="B31" s="215" t="s">
        <v>390</v>
      </c>
      <c r="C31" s="208"/>
      <c r="D31" s="201">
        <v>243</v>
      </c>
      <c r="E31" s="209" t="s">
        <v>146</v>
      </c>
      <c r="F31" s="210">
        <f t="shared" si="9"/>
        <v>0</v>
      </c>
      <c r="G31" s="210">
        <f t="shared" ref="G31" si="13">H31+K31</f>
        <v>0</v>
      </c>
      <c r="H31" s="210">
        <f t="shared" ref="H31" si="14">I31+J31</f>
        <v>0</v>
      </c>
      <c r="I31" s="211"/>
      <c r="J31" s="210"/>
      <c r="K31" s="210"/>
      <c r="L31" s="211">
        <f t="shared" si="12"/>
        <v>0</v>
      </c>
      <c r="M31" s="210"/>
      <c r="N31" s="210">
        <f>X31</f>
        <v>0</v>
      </c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</row>
    <row r="32" spans="1:28" x14ac:dyDescent="0.25">
      <c r="A32" s="208"/>
      <c r="B32" s="208" t="s">
        <v>391</v>
      </c>
      <c r="C32" s="208"/>
      <c r="D32" s="201"/>
      <c r="E32" s="209">
        <v>226</v>
      </c>
      <c r="F32" s="210">
        <f t="shared" si="9"/>
        <v>1034803</v>
      </c>
      <c r="G32" s="210">
        <f>G34+G35</f>
        <v>529941</v>
      </c>
      <c r="H32" s="210">
        <f t="shared" si="10"/>
        <v>0</v>
      </c>
      <c r="I32" s="211">
        <f>SUM(I34:I35)</f>
        <v>0</v>
      </c>
      <c r="J32" s="210"/>
      <c r="K32" s="210">
        <f t="shared" si="11"/>
        <v>529941</v>
      </c>
      <c r="L32" s="211">
        <f>L34+L35</f>
        <v>529941</v>
      </c>
      <c r="M32" s="210"/>
      <c r="N32" s="210">
        <f>N34+N35</f>
        <v>504862</v>
      </c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</row>
    <row r="33" spans="1:28" x14ac:dyDescent="0.25">
      <c r="A33" s="208"/>
      <c r="B33" s="208" t="s">
        <v>380</v>
      </c>
      <c r="C33" s="208"/>
      <c r="D33" s="201"/>
      <c r="E33" s="209"/>
      <c r="F33" s="210"/>
      <c r="G33" s="210"/>
      <c r="H33" s="210"/>
      <c r="I33" s="211"/>
      <c r="J33" s="210"/>
      <c r="K33" s="210"/>
      <c r="L33" s="211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</row>
    <row r="34" spans="1:28" x14ac:dyDescent="0.25">
      <c r="A34" s="208"/>
      <c r="B34" s="214" t="s">
        <v>177</v>
      </c>
      <c r="C34" s="208"/>
      <c r="D34" s="201"/>
      <c r="E34" s="209" t="s">
        <v>137</v>
      </c>
      <c r="F34" s="210">
        <f t="shared" ref="F34:F36" si="15">G34+N34+O34+P34</f>
        <v>1021303</v>
      </c>
      <c r="G34" s="210">
        <f>'Расчеты ГЗ'!CJ92+'Расчеты ГЗ'!CJ93+'Расчеты ГЗ'!CJ95</f>
        <v>516441</v>
      </c>
      <c r="H34" s="210">
        <f t="shared" ref="H34:H36" si="16">I34+J34</f>
        <v>0</v>
      </c>
      <c r="I34" s="211"/>
      <c r="J34" s="210"/>
      <c r="K34" s="210">
        <f t="shared" ref="K34:K36" si="17">L34+M34</f>
        <v>516441</v>
      </c>
      <c r="L34" s="211">
        <f>G34-I34</f>
        <v>516441</v>
      </c>
      <c r="M34" s="210"/>
      <c r="N34" s="210">
        <f>T34+W34+AA34+Y34</f>
        <v>504862</v>
      </c>
      <c r="O34" s="210"/>
      <c r="P34" s="210"/>
      <c r="Q34" s="210"/>
      <c r="R34" s="210"/>
      <c r="S34" s="210"/>
      <c r="T34" s="210">
        <f>51460-110</f>
        <v>51350</v>
      </c>
      <c r="U34" s="210"/>
      <c r="V34" s="210"/>
      <c r="W34" s="210">
        <f>'Расчеты (Иные)'!CJ164</f>
        <v>25112</v>
      </c>
      <c r="X34" s="210"/>
      <c r="Y34" s="210">
        <v>428400</v>
      </c>
      <c r="Z34" s="210"/>
      <c r="AA34" s="210"/>
      <c r="AB34" s="197" t="s">
        <v>367</v>
      </c>
    </row>
    <row r="35" spans="1:28" x14ac:dyDescent="0.25">
      <c r="A35" s="208"/>
      <c r="B35" s="214" t="s">
        <v>392</v>
      </c>
      <c r="C35" s="208"/>
      <c r="D35" s="201"/>
      <c r="E35" s="209" t="s">
        <v>179</v>
      </c>
      <c r="F35" s="210">
        <f t="shared" si="15"/>
        <v>13500</v>
      </c>
      <c r="G35" s="210">
        <f>'Расчеты ГЗ'!CJ94</f>
        <v>13500</v>
      </c>
      <c r="H35" s="210">
        <f t="shared" si="16"/>
        <v>0</v>
      </c>
      <c r="I35" s="211"/>
      <c r="J35" s="210"/>
      <c r="K35" s="210">
        <f t="shared" si="17"/>
        <v>13500</v>
      </c>
      <c r="L35" s="211">
        <f>G35-I35</f>
        <v>13500</v>
      </c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</row>
    <row r="36" spans="1:28" ht="25.5" x14ac:dyDescent="0.25">
      <c r="A36" s="208"/>
      <c r="B36" s="215" t="s">
        <v>393</v>
      </c>
      <c r="C36" s="208"/>
      <c r="D36" s="201"/>
      <c r="E36" s="209">
        <v>228</v>
      </c>
      <c r="F36" s="210">
        <f t="shared" si="15"/>
        <v>0</v>
      </c>
      <c r="G36" s="210"/>
      <c r="H36" s="210">
        <f t="shared" si="16"/>
        <v>0</v>
      </c>
      <c r="I36" s="211">
        <v>0</v>
      </c>
      <c r="J36" s="210"/>
      <c r="K36" s="210">
        <f t="shared" si="17"/>
        <v>0</v>
      </c>
      <c r="L36" s="211">
        <f>G36-I36</f>
        <v>0</v>
      </c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</row>
    <row r="37" spans="1:28" s="207" customFormat="1" x14ac:dyDescent="0.25">
      <c r="A37" s="212" t="s">
        <v>394</v>
      </c>
      <c r="B37" s="213" t="s">
        <v>395</v>
      </c>
      <c r="C37" s="213"/>
      <c r="D37" s="212"/>
      <c r="E37" s="204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6"/>
    </row>
    <row r="38" spans="1:28" x14ac:dyDescent="0.25">
      <c r="A38" s="208"/>
      <c r="B38" s="208" t="s">
        <v>249</v>
      </c>
      <c r="C38" s="208"/>
      <c r="D38" s="201"/>
      <c r="E38" s="209"/>
      <c r="F38" s="210"/>
      <c r="G38" s="210"/>
      <c r="H38" s="210"/>
      <c r="I38" s="211"/>
      <c r="J38" s="210"/>
      <c r="K38" s="210"/>
      <c r="L38" s="211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</row>
    <row r="39" spans="1:28" ht="25.5" x14ac:dyDescent="0.25">
      <c r="A39" s="208"/>
      <c r="B39" s="208" t="s">
        <v>396</v>
      </c>
      <c r="C39" s="208"/>
      <c r="D39" s="201"/>
      <c r="E39" s="209"/>
      <c r="F39" s="210"/>
      <c r="G39" s="210"/>
      <c r="H39" s="210"/>
      <c r="I39" s="211"/>
      <c r="J39" s="210"/>
      <c r="K39" s="210"/>
      <c r="L39" s="211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</row>
    <row r="40" spans="1:28" s="207" customFormat="1" x14ac:dyDescent="0.25">
      <c r="A40" s="212" t="s">
        <v>397</v>
      </c>
      <c r="B40" s="213" t="s">
        <v>398</v>
      </c>
      <c r="C40" s="213"/>
      <c r="D40" s="212">
        <v>321</v>
      </c>
      <c r="E40" s="204">
        <v>321</v>
      </c>
      <c r="F40" s="205">
        <f t="shared" ref="F40" si="18">G40+N40+O40+P40</f>
        <v>112100</v>
      </c>
      <c r="G40" s="205">
        <f t="shared" ref="G40" si="19">H40+K40</f>
        <v>0</v>
      </c>
      <c r="H40" s="205">
        <f t="shared" ref="H40" si="20">I40+J40</f>
        <v>0</v>
      </c>
      <c r="I40" s="205">
        <f>SUM(I43:I46)</f>
        <v>0</v>
      </c>
      <c r="J40" s="205"/>
      <c r="K40" s="205">
        <f t="shared" ref="K40" si="21">L40+M40</f>
        <v>0</v>
      </c>
      <c r="L40" s="205">
        <f>SUM(L43:L46)</f>
        <v>0</v>
      </c>
      <c r="M40" s="205"/>
      <c r="N40" s="205">
        <f>SUM(N43:N46)</f>
        <v>112100</v>
      </c>
      <c r="O40" s="205">
        <f>SUM(O43:O46)</f>
        <v>0</v>
      </c>
      <c r="P40" s="205">
        <f>SUM(P43:P46)</f>
        <v>0</v>
      </c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6"/>
    </row>
    <row r="41" spans="1:28" x14ac:dyDescent="0.25">
      <c r="A41" s="208"/>
      <c r="B41" s="208" t="s">
        <v>249</v>
      </c>
      <c r="C41" s="208"/>
      <c r="D41" s="201"/>
      <c r="E41" s="209"/>
      <c r="F41" s="210"/>
      <c r="G41" s="210"/>
      <c r="H41" s="210"/>
      <c r="I41" s="211"/>
      <c r="J41" s="210"/>
      <c r="K41" s="210"/>
      <c r="L41" s="211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</row>
    <row r="42" spans="1:28" x14ac:dyDescent="0.25">
      <c r="A42" s="208"/>
      <c r="B42" s="208" t="s">
        <v>399</v>
      </c>
      <c r="C42" s="208"/>
      <c r="D42" s="201"/>
      <c r="E42" s="209"/>
      <c r="F42" s="210"/>
      <c r="G42" s="210"/>
      <c r="H42" s="210"/>
      <c r="I42" s="211"/>
      <c r="J42" s="210"/>
      <c r="K42" s="210"/>
      <c r="L42" s="211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</row>
    <row r="43" spans="1:28" x14ac:dyDescent="0.25">
      <c r="A43" s="208"/>
      <c r="B43" s="208" t="s">
        <v>400</v>
      </c>
      <c r="C43" s="208"/>
      <c r="D43" s="201"/>
      <c r="E43" s="209" t="s">
        <v>401</v>
      </c>
      <c r="F43" s="210">
        <f t="shared" ref="F43:F46" si="22">G43+N43+O43+P43</f>
        <v>0</v>
      </c>
      <c r="G43" s="210"/>
      <c r="H43" s="210">
        <f t="shared" ref="H43:H46" si="23">I43+J43</f>
        <v>0</v>
      </c>
      <c r="I43" s="211"/>
      <c r="J43" s="210"/>
      <c r="K43" s="210">
        <f t="shared" ref="K43:K46" si="24">L43+M43</f>
        <v>0</v>
      </c>
      <c r="L43" s="211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</row>
    <row r="44" spans="1:28" x14ac:dyDescent="0.25">
      <c r="A44" s="208"/>
      <c r="B44" s="208" t="s">
        <v>402</v>
      </c>
      <c r="C44" s="208"/>
      <c r="D44" s="201"/>
      <c r="E44" s="209" t="s">
        <v>403</v>
      </c>
      <c r="F44" s="210">
        <f>G44+N44+O44+P44</f>
        <v>0</v>
      </c>
      <c r="G44" s="210"/>
      <c r="H44" s="210">
        <f>I44+J44</f>
        <v>0</v>
      </c>
      <c r="I44" s="211"/>
      <c r="J44" s="210"/>
      <c r="K44" s="210">
        <f>L44+M44</f>
        <v>0</v>
      </c>
      <c r="L44" s="211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</row>
    <row r="45" spans="1:28" x14ac:dyDescent="0.25">
      <c r="A45" s="208"/>
      <c r="B45" s="215" t="s">
        <v>404</v>
      </c>
      <c r="C45" s="208"/>
      <c r="D45" s="201"/>
      <c r="E45" s="209" t="s">
        <v>405</v>
      </c>
      <c r="F45" s="210">
        <f t="shared" si="22"/>
        <v>14400</v>
      </c>
      <c r="G45" s="210"/>
      <c r="H45" s="210">
        <f t="shared" si="23"/>
        <v>0</v>
      </c>
      <c r="I45" s="211"/>
      <c r="J45" s="210"/>
      <c r="K45" s="210">
        <f t="shared" si="24"/>
        <v>0</v>
      </c>
      <c r="L45" s="211"/>
      <c r="M45" s="210"/>
      <c r="N45" s="210">
        <f>V45</f>
        <v>14400</v>
      </c>
      <c r="O45" s="210"/>
      <c r="P45" s="210"/>
      <c r="Q45" s="210"/>
      <c r="R45" s="210"/>
      <c r="S45" s="210"/>
      <c r="T45" s="210"/>
      <c r="U45" s="210"/>
      <c r="V45" s="210">
        <f>'Расчеты (Иные)'!CJ109</f>
        <v>14400</v>
      </c>
      <c r="W45" s="210"/>
      <c r="X45" s="210"/>
      <c r="Y45" s="210"/>
      <c r="Z45" s="210"/>
      <c r="AA45" s="210"/>
      <c r="AB45" s="197" t="s">
        <v>366</v>
      </c>
    </row>
    <row r="46" spans="1:28" ht="38.25" x14ac:dyDescent="0.25">
      <c r="A46" s="208"/>
      <c r="B46" s="215" t="s">
        <v>406</v>
      </c>
      <c r="C46" s="208"/>
      <c r="D46" s="201"/>
      <c r="E46" s="209" t="s">
        <v>407</v>
      </c>
      <c r="F46" s="210">
        <f t="shared" si="22"/>
        <v>97700</v>
      </c>
      <c r="G46" s="210"/>
      <c r="H46" s="210">
        <f t="shared" si="23"/>
        <v>0</v>
      </c>
      <c r="I46" s="211"/>
      <c r="J46" s="210"/>
      <c r="K46" s="210">
        <f t="shared" si="24"/>
        <v>0</v>
      </c>
      <c r="L46" s="211"/>
      <c r="M46" s="210"/>
      <c r="N46" s="210">
        <f>U46</f>
        <v>97700</v>
      </c>
      <c r="O46" s="210"/>
      <c r="P46" s="210"/>
      <c r="Q46" s="210"/>
      <c r="R46" s="210"/>
      <c r="S46" s="210"/>
      <c r="T46" s="210"/>
      <c r="U46" s="210">
        <f>'Расчеты (Иные)'!CJ97</f>
        <v>97700</v>
      </c>
      <c r="V46" s="210"/>
      <c r="W46" s="210"/>
      <c r="X46" s="210"/>
      <c r="Y46" s="210"/>
      <c r="Z46" s="210"/>
      <c r="AA46" s="210"/>
      <c r="AB46" s="197" t="s">
        <v>365</v>
      </c>
    </row>
    <row r="47" spans="1:28" ht="38.25" x14ac:dyDescent="0.25">
      <c r="A47" s="208"/>
      <c r="B47" s="208" t="s">
        <v>408</v>
      </c>
      <c r="C47" s="208"/>
      <c r="D47" s="201"/>
      <c r="E47" s="209"/>
      <c r="F47" s="210"/>
      <c r="G47" s="210"/>
      <c r="H47" s="210"/>
      <c r="I47" s="211"/>
      <c r="J47" s="210"/>
      <c r="K47" s="210"/>
      <c r="L47" s="211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</row>
    <row r="48" spans="1:28" s="207" customFormat="1" x14ac:dyDescent="0.25">
      <c r="A48" s="212" t="s">
        <v>409</v>
      </c>
      <c r="B48" s="213" t="s">
        <v>410</v>
      </c>
      <c r="C48" s="213"/>
      <c r="D48" s="212">
        <v>290</v>
      </c>
      <c r="E48" s="204">
        <v>290</v>
      </c>
      <c r="F48" s="205">
        <f t="shared" ref="F48" si="25">G48+N48+O48+P48</f>
        <v>5715915.1320000002</v>
      </c>
      <c r="G48" s="205">
        <f>G50+G51+G54+G55</f>
        <v>5715915.1320000002</v>
      </c>
      <c r="H48" s="205">
        <f t="shared" ref="H48" si="26">I48+J48</f>
        <v>0</v>
      </c>
      <c r="I48" s="205">
        <f>I50+I51+I54+I55</f>
        <v>0</v>
      </c>
      <c r="J48" s="205"/>
      <c r="K48" s="205">
        <f t="shared" ref="K48" si="27">L48+M48</f>
        <v>5715915.1320000002</v>
      </c>
      <c r="L48" s="205">
        <f>L50+L51+L54+L55</f>
        <v>5715915.1320000002</v>
      </c>
      <c r="M48" s="205"/>
      <c r="N48" s="205"/>
      <c r="O48" s="205">
        <f>O50+O51+O54+O55</f>
        <v>0</v>
      </c>
      <c r="P48" s="205">
        <f>P50+P51+P54+P55</f>
        <v>0</v>
      </c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6"/>
    </row>
    <row r="49" spans="1:28" x14ac:dyDescent="0.25">
      <c r="A49" s="208"/>
      <c r="B49" s="208" t="s">
        <v>249</v>
      </c>
      <c r="C49" s="208"/>
      <c r="D49" s="201"/>
      <c r="E49" s="209"/>
      <c r="F49" s="210"/>
      <c r="G49" s="210"/>
      <c r="H49" s="210"/>
      <c r="I49" s="211"/>
      <c r="J49" s="210"/>
      <c r="K49" s="210"/>
      <c r="L49" s="211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</row>
    <row r="50" spans="1:28" x14ac:dyDescent="0.25">
      <c r="A50" s="208"/>
      <c r="B50" s="214" t="s">
        <v>181</v>
      </c>
      <c r="C50" s="208"/>
      <c r="D50" s="201"/>
      <c r="E50" s="209" t="s">
        <v>411</v>
      </c>
      <c r="F50" s="210">
        <f t="shared" ref="F50:F51" si="28">G50+N50+O50+P50</f>
        <v>234984</v>
      </c>
      <c r="G50" s="210">
        <f>'Расчеты ГЗ'!CE44</f>
        <v>234984</v>
      </c>
      <c r="H50" s="210">
        <f t="shared" ref="H50:H51" si="29">I50+J50</f>
        <v>0</v>
      </c>
      <c r="I50" s="211"/>
      <c r="J50" s="210"/>
      <c r="K50" s="210">
        <f t="shared" ref="K50" si="30">L50+M50</f>
        <v>234984</v>
      </c>
      <c r="L50" s="211">
        <f>G50-I50</f>
        <v>234984</v>
      </c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</row>
    <row r="51" spans="1:28" x14ac:dyDescent="0.25">
      <c r="A51" s="208"/>
      <c r="B51" s="214" t="s">
        <v>182</v>
      </c>
      <c r="C51" s="208"/>
      <c r="D51" s="201"/>
      <c r="E51" s="209" t="s">
        <v>412</v>
      </c>
      <c r="F51" s="210">
        <f t="shared" si="28"/>
        <v>5344031.1320000002</v>
      </c>
      <c r="G51" s="210">
        <f>'Расчеты ГЗ'!CE45</f>
        <v>5344031.1320000002</v>
      </c>
      <c r="H51" s="210">
        <f t="shared" si="29"/>
        <v>0</v>
      </c>
      <c r="I51" s="211"/>
      <c r="J51" s="210"/>
      <c r="K51" s="210">
        <f>L51+M51</f>
        <v>5344031.1320000002</v>
      </c>
      <c r="L51" s="211">
        <f>G51-I51</f>
        <v>5344031.1320000002</v>
      </c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</row>
    <row r="52" spans="1:28" ht="25.5" x14ac:dyDescent="0.25">
      <c r="A52" s="208"/>
      <c r="B52" s="208" t="s">
        <v>413</v>
      </c>
      <c r="C52" s="208"/>
      <c r="D52" s="201"/>
      <c r="E52" s="209"/>
      <c r="F52" s="210"/>
      <c r="G52" s="210"/>
      <c r="H52" s="210"/>
      <c r="I52" s="211"/>
      <c r="J52" s="210"/>
      <c r="K52" s="210"/>
      <c r="L52" s="211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</row>
    <row r="53" spans="1:28" x14ac:dyDescent="0.25">
      <c r="A53" s="208"/>
      <c r="B53" s="208" t="s">
        <v>249</v>
      </c>
      <c r="C53" s="208"/>
      <c r="D53" s="201"/>
      <c r="E53" s="209"/>
      <c r="F53" s="210"/>
      <c r="G53" s="210"/>
      <c r="H53" s="210"/>
      <c r="I53" s="211"/>
      <c r="J53" s="210"/>
      <c r="K53" s="210"/>
      <c r="L53" s="211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</row>
    <row r="54" spans="1:28" x14ac:dyDescent="0.25">
      <c r="A54" s="208"/>
      <c r="B54" s="214" t="s">
        <v>414</v>
      </c>
      <c r="C54" s="208"/>
      <c r="D54" s="201"/>
      <c r="E54" s="209" t="s">
        <v>415</v>
      </c>
      <c r="F54" s="210">
        <f t="shared" ref="F54:F55" si="31">G54+N54+O54+P54</f>
        <v>0</v>
      </c>
      <c r="G54" s="210">
        <f t="shared" ref="G54" si="32">H54+K54</f>
        <v>0</v>
      </c>
      <c r="H54" s="210">
        <f t="shared" ref="H54:H55" si="33">I54+J54</f>
        <v>0</v>
      </c>
      <c r="I54" s="211"/>
      <c r="J54" s="210"/>
      <c r="K54" s="210">
        <f t="shared" ref="K54:K55" si="34">L54+M54</f>
        <v>0</v>
      </c>
      <c r="L54" s="211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</row>
    <row r="55" spans="1:28" x14ac:dyDescent="0.25">
      <c r="A55" s="208"/>
      <c r="B55" s="214" t="s">
        <v>416</v>
      </c>
      <c r="C55" s="208"/>
      <c r="D55" s="201"/>
      <c r="E55" s="209" t="s">
        <v>417</v>
      </c>
      <c r="F55" s="210">
        <f t="shared" si="31"/>
        <v>136900</v>
      </c>
      <c r="G55" s="210">
        <f>'Расчеты ГЗ'!CE46</f>
        <v>136900</v>
      </c>
      <c r="H55" s="210">
        <f t="shared" si="33"/>
        <v>0</v>
      </c>
      <c r="I55" s="211"/>
      <c r="J55" s="210"/>
      <c r="K55" s="210">
        <f t="shared" si="34"/>
        <v>136900</v>
      </c>
      <c r="L55" s="211">
        <f>G55-I55</f>
        <v>136900</v>
      </c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</row>
    <row r="56" spans="1:28" s="207" customFormat="1" x14ac:dyDescent="0.25">
      <c r="A56" s="212" t="s">
        <v>418</v>
      </c>
      <c r="B56" s="213" t="s">
        <v>419</v>
      </c>
      <c r="C56" s="213"/>
      <c r="D56" s="212">
        <v>244</v>
      </c>
      <c r="E56" s="204"/>
      <c r="F56" s="205">
        <f>F57+F63</f>
        <v>4216492.0830000006</v>
      </c>
      <c r="G56" s="205">
        <f>G57+G63</f>
        <v>459385.30299999996</v>
      </c>
      <c r="H56" s="205">
        <f>H57+H63</f>
        <v>0</v>
      </c>
      <c r="I56" s="205">
        <f>I57+I63</f>
        <v>0</v>
      </c>
      <c r="J56" s="205"/>
      <c r="K56" s="205">
        <f>K57+K63</f>
        <v>459385.30299999996</v>
      </c>
      <c r="L56" s="205">
        <f>L57+L63</f>
        <v>459385.30299999996</v>
      </c>
      <c r="M56" s="205"/>
      <c r="N56" s="205">
        <f>N57+N63</f>
        <v>3489298</v>
      </c>
      <c r="O56" s="205">
        <f>O57+O63</f>
        <v>267808.78000000003</v>
      </c>
      <c r="P56" s="205">
        <f>P57+P63</f>
        <v>0</v>
      </c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6"/>
    </row>
    <row r="57" spans="1:28" x14ac:dyDescent="0.25">
      <c r="A57" s="208"/>
      <c r="B57" s="208" t="s">
        <v>420</v>
      </c>
      <c r="C57" s="208"/>
      <c r="D57" s="201"/>
      <c r="E57" s="209">
        <v>310</v>
      </c>
      <c r="F57" s="210">
        <f t="shared" ref="F57" si="35">G57+N57+O57+P57</f>
        <v>3113025</v>
      </c>
      <c r="G57" s="210">
        <f>G59+G60</f>
        <v>138915</v>
      </c>
      <c r="H57" s="210">
        <f t="shared" ref="H57" si="36">I57+J57</f>
        <v>0</v>
      </c>
      <c r="I57" s="211">
        <f>SUM(I59:I60)</f>
        <v>0</v>
      </c>
      <c r="J57" s="210"/>
      <c r="K57" s="210">
        <f t="shared" ref="K57" si="37">L57+M57</f>
        <v>138915</v>
      </c>
      <c r="L57" s="211">
        <f>SUM(L59:L60)</f>
        <v>138915</v>
      </c>
      <c r="M57" s="210"/>
      <c r="N57" s="210">
        <f>SUM(N59:N60)</f>
        <v>2974110</v>
      </c>
      <c r="O57" s="210">
        <f>SUM(O59:O60)</f>
        <v>0</v>
      </c>
      <c r="P57" s="210">
        <f>SUM(P59:P60)</f>
        <v>0</v>
      </c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</row>
    <row r="58" spans="1:28" ht="25.5" customHeight="1" x14ac:dyDescent="0.25">
      <c r="A58" s="208"/>
      <c r="B58" s="208" t="s">
        <v>380</v>
      </c>
      <c r="C58" s="208"/>
      <c r="D58" s="201"/>
      <c r="E58" s="209"/>
      <c r="F58" s="210"/>
      <c r="G58" s="210"/>
      <c r="H58" s="210"/>
      <c r="I58" s="211"/>
      <c r="J58" s="210"/>
      <c r="K58" s="210"/>
      <c r="L58" s="211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</row>
    <row r="59" spans="1:28" ht="25.5" x14ac:dyDescent="0.25">
      <c r="A59" s="208"/>
      <c r="B59" s="214" t="s">
        <v>421</v>
      </c>
      <c r="C59" s="208"/>
      <c r="D59" s="201"/>
      <c r="E59" s="209" t="s">
        <v>148</v>
      </c>
      <c r="F59" s="210">
        <f t="shared" ref="F59" si="38">G59+N59+O59+P59</f>
        <v>138915</v>
      </c>
      <c r="G59" s="210">
        <f>'учебники  310-045'!D45</f>
        <v>138915</v>
      </c>
      <c r="H59" s="210">
        <f t="shared" ref="H59:H60" si="39">I59+J59</f>
        <v>0</v>
      </c>
      <c r="I59" s="211"/>
      <c r="J59" s="210"/>
      <c r="K59" s="210">
        <f t="shared" ref="K59:K60" si="40">L59+M59</f>
        <v>138915</v>
      </c>
      <c r="L59" s="211">
        <f>G59-I59</f>
        <v>138915</v>
      </c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</row>
    <row r="60" spans="1:28" x14ac:dyDescent="0.25">
      <c r="A60" s="208"/>
      <c r="B60" s="214" t="s">
        <v>422</v>
      </c>
      <c r="C60" s="208"/>
      <c r="D60" s="201"/>
      <c r="E60" s="209" t="s">
        <v>149</v>
      </c>
      <c r="F60" s="210">
        <f>G60+N60+O60+P60</f>
        <v>2974110</v>
      </c>
      <c r="G60" s="210">
        <f>'Основ средства 310-914'!D14</f>
        <v>0</v>
      </c>
      <c r="H60" s="210">
        <f t="shared" si="39"/>
        <v>0</v>
      </c>
      <c r="I60" s="211"/>
      <c r="J60" s="210"/>
      <c r="K60" s="210">
        <f t="shared" si="40"/>
        <v>0</v>
      </c>
      <c r="L60" s="211">
        <f>G60-I60</f>
        <v>0</v>
      </c>
      <c r="M60" s="210"/>
      <c r="N60" s="210">
        <f>T60</f>
        <v>2974110</v>
      </c>
      <c r="O60" s="210"/>
      <c r="P60" s="210"/>
      <c r="Q60" s="210"/>
      <c r="R60" s="210"/>
      <c r="S60" s="210"/>
      <c r="T60" s="210">
        <f>2974110</f>
        <v>2974110</v>
      </c>
      <c r="U60" s="210"/>
      <c r="V60" s="210"/>
      <c r="W60" s="210"/>
      <c r="X60" s="210"/>
      <c r="Y60" s="210"/>
      <c r="Z60" s="210"/>
      <c r="AA60" s="210"/>
    </row>
    <row r="61" spans="1:28" ht="25.5" x14ac:dyDescent="0.25">
      <c r="A61" s="208"/>
      <c r="B61" s="208" t="s">
        <v>423</v>
      </c>
      <c r="C61" s="208"/>
      <c r="D61" s="201"/>
      <c r="E61" s="209"/>
      <c r="F61" s="210"/>
      <c r="G61" s="210"/>
      <c r="H61" s="210"/>
      <c r="I61" s="211"/>
      <c r="J61" s="210"/>
      <c r="K61" s="210"/>
      <c r="L61" s="211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</row>
    <row r="62" spans="1:28" ht="25.5" x14ac:dyDescent="0.25">
      <c r="A62" s="208"/>
      <c r="B62" s="208" t="s">
        <v>424</v>
      </c>
      <c r="C62" s="208"/>
      <c r="D62" s="201"/>
      <c r="E62" s="209"/>
      <c r="F62" s="210"/>
      <c r="G62" s="210"/>
      <c r="H62" s="210"/>
      <c r="I62" s="211"/>
      <c r="J62" s="210"/>
      <c r="K62" s="210"/>
      <c r="L62" s="211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</row>
    <row r="63" spans="1:28" ht="25.5" x14ac:dyDescent="0.25">
      <c r="A63" s="208"/>
      <c r="B63" s="208" t="s">
        <v>425</v>
      </c>
      <c r="C63" s="208"/>
      <c r="D63" s="201"/>
      <c r="E63" s="209">
        <v>340</v>
      </c>
      <c r="F63" s="210">
        <f t="shared" ref="F63:F71" si="41">G63+N63+O63+P63</f>
        <v>1103467.0830000001</v>
      </c>
      <c r="G63" s="210">
        <f>SUM(G65:G71)</f>
        <v>320470.30299999996</v>
      </c>
      <c r="H63" s="210">
        <f t="shared" ref="H63" si="42">I63+J63</f>
        <v>0</v>
      </c>
      <c r="I63" s="211">
        <f>SUM(I65:I71)</f>
        <v>0</v>
      </c>
      <c r="J63" s="210"/>
      <c r="K63" s="210">
        <f t="shared" ref="K63:K71" si="43">L63+M63</f>
        <v>320470.30299999996</v>
      </c>
      <c r="L63" s="211">
        <f>SUM(L65:L71)</f>
        <v>320470.30299999996</v>
      </c>
      <c r="M63" s="210"/>
      <c r="N63" s="210">
        <f>SUM(N65:N71)</f>
        <v>515188</v>
      </c>
      <c r="O63" s="210">
        <f>SUM(O65:O71)</f>
        <v>267808.78000000003</v>
      </c>
      <c r="P63" s="210">
        <f>SUM(P65:P71)</f>
        <v>0</v>
      </c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</row>
    <row r="64" spans="1:28" x14ac:dyDescent="0.25">
      <c r="A64" s="208"/>
      <c r="B64" s="208" t="s">
        <v>249</v>
      </c>
      <c r="C64" s="208"/>
      <c r="D64" s="201"/>
      <c r="E64" s="209"/>
      <c r="F64" s="210"/>
      <c r="G64" s="210"/>
      <c r="H64" s="210"/>
      <c r="I64" s="211"/>
      <c r="J64" s="210"/>
      <c r="K64" s="210"/>
      <c r="L64" s="211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</row>
    <row r="65" spans="1:28" s="222" customFormat="1" x14ac:dyDescent="0.25">
      <c r="A65" s="216"/>
      <c r="B65" s="217" t="s">
        <v>426</v>
      </c>
      <c r="C65" s="216"/>
      <c r="D65" s="218"/>
      <c r="E65" s="219" t="s">
        <v>183</v>
      </c>
      <c r="F65" s="220">
        <f t="shared" si="41"/>
        <v>13880</v>
      </c>
      <c r="G65" s="220">
        <f>'Расчеты ГЗ'!CJ104</f>
        <v>13880</v>
      </c>
      <c r="H65" s="220">
        <f t="shared" ref="H65:H71" si="44">I65+J65</f>
        <v>0</v>
      </c>
      <c r="I65" s="211"/>
      <c r="J65" s="220"/>
      <c r="K65" s="220">
        <f t="shared" si="43"/>
        <v>13880</v>
      </c>
      <c r="L65" s="211">
        <f>G65-I65</f>
        <v>13880</v>
      </c>
      <c r="M65" s="220"/>
      <c r="N65" s="220"/>
      <c r="O65" s="220"/>
      <c r="P65" s="220"/>
      <c r="Q65" s="220"/>
      <c r="R65" s="220"/>
      <c r="S65" s="220">
        <f>'Расчеты (Иные)'!CJ35</f>
        <v>0</v>
      </c>
      <c r="T65" s="220"/>
      <c r="U65" s="220"/>
      <c r="V65" s="220"/>
      <c r="W65" s="220"/>
      <c r="X65" s="220"/>
      <c r="Y65" s="220"/>
      <c r="Z65" s="220"/>
      <c r="AA65" s="220"/>
      <c r="AB65" s="221"/>
    </row>
    <row r="66" spans="1:28" s="222" customFormat="1" x14ac:dyDescent="0.25">
      <c r="A66" s="216"/>
      <c r="B66" s="217" t="s">
        <v>427</v>
      </c>
      <c r="C66" s="216"/>
      <c r="D66" s="218"/>
      <c r="E66" s="219" t="s">
        <v>428</v>
      </c>
      <c r="F66" s="220">
        <f t="shared" si="41"/>
        <v>776796.78</v>
      </c>
      <c r="G66" s="220">
        <f>'Расчеты ГЗ'!CJ105</f>
        <v>0</v>
      </c>
      <c r="H66" s="220">
        <f t="shared" si="44"/>
        <v>0</v>
      </c>
      <c r="I66" s="211"/>
      <c r="J66" s="220"/>
      <c r="K66" s="220">
        <f t="shared" si="43"/>
        <v>0</v>
      </c>
      <c r="L66" s="211">
        <f t="shared" ref="L66:L71" si="45">G66-I66</f>
        <v>0</v>
      </c>
      <c r="M66" s="220"/>
      <c r="N66" s="220">
        <f>W66+S66+S67+S68+S65</f>
        <v>508988</v>
      </c>
      <c r="O66" s="220">
        <f>Z66+AA66+O158</f>
        <v>267808.78000000003</v>
      </c>
      <c r="P66" s="220"/>
      <c r="Q66" s="220"/>
      <c r="R66" s="220"/>
      <c r="S66" s="220">
        <f>'Расчеты (Иные)'!CJ37</f>
        <v>145760</v>
      </c>
      <c r="T66" s="220"/>
      <c r="U66" s="220"/>
      <c r="V66" s="220"/>
      <c r="W66" s="220">
        <f>'Расчеты (Иные)'!CJ166</f>
        <v>116088</v>
      </c>
      <c r="X66" s="220"/>
      <c r="Y66" s="220"/>
      <c r="Z66" s="220">
        <v>0</v>
      </c>
      <c r="AA66" s="220">
        <v>250000</v>
      </c>
      <c r="AB66" s="221"/>
    </row>
    <row r="67" spans="1:28" s="222" customFormat="1" x14ac:dyDescent="0.25">
      <c r="A67" s="216"/>
      <c r="B67" s="217" t="s">
        <v>185</v>
      </c>
      <c r="C67" s="216"/>
      <c r="D67" s="218"/>
      <c r="E67" s="219" t="s">
        <v>184</v>
      </c>
      <c r="F67" s="220">
        <f t="shared" si="41"/>
        <v>38197.894999999997</v>
      </c>
      <c r="G67" s="220">
        <f>'Расчеты ГЗ'!CJ106</f>
        <v>38197.894999999997</v>
      </c>
      <c r="H67" s="220">
        <f t="shared" si="44"/>
        <v>0</v>
      </c>
      <c r="I67" s="211"/>
      <c r="J67" s="220"/>
      <c r="K67" s="220">
        <f t="shared" si="43"/>
        <v>38197.894999999997</v>
      </c>
      <c r="L67" s="211">
        <f t="shared" si="45"/>
        <v>38197.894999999997</v>
      </c>
      <c r="M67" s="220"/>
      <c r="N67" s="220"/>
      <c r="O67" s="220"/>
      <c r="P67" s="220"/>
      <c r="Q67" s="220"/>
      <c r="R67" s="220"/>
      <c r="S67" s="220">
        <f>'Расчеты (Иные)'!CJ38</f>
        <v>101080</v>
      </c>
      <c r="T67" s="220"/>
      <c r="U67" s="220"/>
      <c r="V67" s="220"/>
      <c r="W67" s="220"/>
      <c r="X67" s="220"/>
      <c r="Y67" s="220"/>
      <c r="Z67" s="220"/>
      <c r="AA67" s="220"/>
      <c r="AB67" s="221"/>
    </row>
    <row r="68" spans="1:28" s="222" customFormat="1" x14ac:dyDescent="0.25">
      <c r="A68" s="216"/>
      <c r="B68" s="217" t="s">
        <v>429</v>
      </c>
      <c r="C68" s="216"/>
      <c r="D68" s="218"/>
      <c r="E68" s="219" t="s">
        <v>147</v>
      </c>
      <c r="F68" s="220">
        <f t="shared" si="41"/>
        <v>19550</v>
      </c>
      <c r="G68" s="220">
        <f>'Расчеты ГЗ'!CJ107</f>
        <v>19550</v>
      </c>
      <c r="H68" s="220">
        <f t="shared" si="44"/>
        <v>0</v>
      </c>
      <c r="I68" s="211"/>
      <c r="J68" s="220"/>
      <c r="K68" s="220">
        <f t="shared" si="43"/>
        <v>19550</v>
      </c>
      <c r="L68" s="211">
        <f t="shared" si="45"/>
        <v>19550</v>
      </c>
      <c r="M68" s="220"/>
      <c r="N68" s="220"/>
      <c r="O68" s="220"/>
      <c r="P68" s="220"/>
      <c r="Q68" s="220"/>
      <c r="R68" s="220"/>
      <c r="S68" s="220">
        <f>'Расчеты (Иные)'!CJ39</f>
        <v>146060</v>
      </c>
      <c r="T68" s="220"/>
      <c r="U68" s="220"/>
      <c r="V68" s="220"/>
      <c r="W68" s="220"/>
      <c r="X68" s="220"/>
      <c r="Y68" s="220"/>
      <c r="Z68" s="220"/>
      <c r="AA68" s="220"/>
      <c r="AB68" s="221"/>
    </row>
    <row r="69" spans="1:28" s="222" customFormat="1" x14ac:dyDescent="0.25">
      <c r="A69" s="216"/>
      <c r="B69" s="217" t="s">
        <v>430</v>
      </c>
      <c r="C69" s="216"/>
      <c r="D69" s="218"/>
      <c r="E69" s="219" t="s">
        <v>186</v>
      </c>
      <c r="F69" s="220">
        <f t="shared" si="41"/>
        <v>47115.057999999997</v>
      </c>
      <c r="G69" s="220">
        <f>'Расчеты ГЗ'!CJ108</f>
        <v>47115.057999999997</v>
      </c>
      <c r="H69" s="220">
        <f t="shared" si="44"/>
        <v>0</v>
      </c>
      <c r="I69" s="211"/>
      <c r="J69" s="220"/>
      <c r="K69" s="220">
        <f t="shared" si="43"/>
        <v>47115.057999999997</v>
      </c>
      <c r="L69" s="211">
        <f t="shared" si="45"/>
        <v>47115.057999999997</v>
      </c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1"/>
    </row>
    <row r="70" spans="1:28" s="222" customFormat="1" x14ac:dyDescent="0.25">
      <c r="A70" s="216"/>
      <c r="B70" s="217" t="s">
        <v>431</v>
      </c>
      <c r="C70" s="216"/>
      <c r="D70" s="218"/>
      <c r="E70" s="219" t="s">
        <v>187</v>
      </c>
      <c r="F70" s="220">
        <f t="shared" si="41"/>
        <v>197009</v>
      </c>
      <c r="G70" s="220">
        <f>'Расчеты ГЗ'!CJ109</f>
        <v>197009</v>
      </c>
      <c r="H70" s="220">
        <f t="shared" si="44"/>
        <v>0</v>
      </c>
      <c r="I70" s="211"/>
      <c r="J70" s="220"/>
      <c r="K70" s="220">
        <f t="shared" si="43"/>
        <v>197009</v>
      </c>
      <c r="L70" s="211">
        <f t="shared" si="45"/>
        <v>197009</v>
      </c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1"/>
    </row>
    <row r="71" spans="1:28" s="222" customFormat="1" ht="25.5" x14ac:dyDescent="0.25">
      <c r="A71" s="216"/>
      <c r="B71" s="217" t="s">
        <v>432</v>
      </c>
      <c r="C71" s="216"/>
      <c r="D71" s="218"/>
      <c r="E71" s="219" t="s">
        <v>188</v>
      </c>
      <c r="F71" s="220">
        <f t="shared" si="41"/>
        <v>10918.349999999999</v>
      </c>
      <c r="G71" s="220">
        <f>'Расчеты ГЗ'!CJ110</f>
        <v>4718.3499999999995</v>
      </c>
      <c r="H71" s="220">
        <f t="shared" si="44"/>
        <v>0</v>
      </c>
      <c r="I71" s="211"/>
      <c r="J71" s="220"/>
      <c r="K71" s="220">
        <f t="shared" si="43"/>
        <v>4718.3499999999995</v>
      </c>
      <c r="L71" s="211">
        <f t="shared" si="45"/>
        <v>4718.3499999999995</v>
      </c>
      <c r="M71" s="220"/>
      <c r="N71" s="220">
        <f>W71</f>
        <v>6200</v>
      </c>
      <c r="O71" s="220"/>
      <c r="P71" s="220"/>
      <c r="Q71" s="220"/>
      <c r="R71" s="220"/>
      <c r="S71" s="220"/>
      <c r="T71" s="220"/>
      <c r="U71" s="220"/>
      <c r="V71" s="220"/>
      <c r="W71" s="220">
        <f>'Расчеты (Иные)'!CJ165</f>
        <v>6200</v>
      </c>
      <c r="X71" s="220"/>
      <c r="Y71" s="220"/>
      <c r="Z71" s="220"/>
      <c r="AA71" s="220"/>
      <c r="AB71" s="221"/>
    </row>
    <row r="72" spans="1:28" s="222" customFormat="1" x14ac:dyDescent="0.25">
      <c r="A72" s="216"/>
      <c r="B72" s="217"/>
      <c r="C72" s="216"/>
      <c r="D72" s="218"/>
      <c r="E72" s="219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1"/>
    </row>
    <row r="73" spans="1:28" s="207" customFormat="1" x14ac:dyDescent="0.25">
      <c r="A73" s="212" t="s">
        <v>433</v>
      </c>
      <c r="B73" s="213" t="s">
        <v>434</v>
      </c>
      <c r="C73" s="213"/>
      <c r="D73" s="212"/>
      <c r="E73" s="204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6"/>
    </row>
    <row r="74" spans="1:28" x14ac:dyDescent="0.25">
      <c r="A74" s="208"/>
      <c r="B74" s="208" t="s">
        <v>435</v>
      </c>
      <c r="C74" s="208"/>
      <c r="D74" s="201"/>
      <c r="E74" s="209"/>
      <c r="F74" s="210"/>
      <c r="G74" s="210"/>
      <c r="H74" s="210"/>
      <c r="I74" s="211"/>
      <c r="J74" s="210"/>
      <c r="K74" s="210"/>
      <c r="L74" s="211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</row>
    <row r="75" spans="1:28" ht="25.5" x14ac:dyDescent="0.25">
      <c r="A75" s="208"/>
      <c r="B75" s="208" t="s">
        <v>436</v>
      </c>
      <c r="C75" s="208"/>
      <c r="D75" s="201"/>
      <c r="E75" s="209"/>
      <c r="F75" s="210"/>
      <c r="G75" s="210"/>
      <c r="H75" s="210"/>
      <c r="I75" s="211"/>
      <c r="J75" s="210"/>
      <c r="K75" s="210"/>
      <c r="L75" s="211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</row>
    <row r="76" spans="1:28" ht="25.5" x14ac:dyDescent="0.25">
      <c r="A76" s="208"/>
      <c r="B76" s="208" t="s">
        <v>437</v>
      </c>
      <c r="C76" s="208"/>
      <c r="D76" s="201"/>
      <c r="E76" s="209"/>
      <c r="F76" s="210"/>
      <c r="G76" s="210"/>
      <c r="H76" s="210"/>
      <c r="I76" s="211"/>
      <c r="J76" s="210"/>
      <c r="K76" s="210"/>
      <c r="L76" s="211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</row>
    <row r="77" spans="1:28" s="207" customFormat="1" x14ac:dyDescent="0.25">
      <c r="A77" s="212" t="s">
        <v>438</v>
      </c>
      <c r="B77" s="213" t="s">
        <v>439</v>
      </c>
      <c r="C77" s="213"/>
      <c r="D77" s="212"/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6"/>
    </row>
    <row r="78" spans="1:28" x14ac:dyDescent="0.25">
      <c r="A78" s="208"/>
      <c r="B78" s="208" t="s">
        <v>435</v>
      </c>
      <c r="C78" s="208"/>
      <c r="D78" s="201"/>
      <c r="E78" s="209"/>
      <c r="F78" s="210"/>
      <c r="G78" s="210"/>
      <c r="H78" s="210"/>
      <c r="I78" s="211"/>
      <c r="J78" s="210"/>
      <c r="K78" s="210"/>
      <c r="L78" s="211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</row>
    <row r="79" spans="1:28" x14ac:dyDescent="0.25">
      <c r="A79" s="208"/>
      <c r="B79" s="208" t="s">
        <v>440</v>
      </c>
      <c r="C79" s="208"/>
      <c r="D79" s="201"/>
      <c r="E79" s="209"/>
      <c r="F79" s="210"/>
      <c r="G79" s="210"/>
      <c r="H79" s="210"/>
      <c r="I79" s="211"/>
      <c r="J79" s="210"/>
      <c r="K79" s="210"/>
      <c r="L79" s="211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</row>
    <row r="80" spans="1:28" x14ac:dyDescent="0.25">
      <c r="A80" s="208"/>
      <c r="B80" s="208" t="s">
        <v>441</v>
      </c>
      <c r="C80" s="208"/>
      <c r="D80" s="201"/>
      <c r="E80" s="209"/>
      <c r="F80" s="210"/>
      <c r="G80" s="210"/>
      <c r="H80" s="210"/>
      <c r="I80" s="211"/>
      <c r="J80" s="210"/>
      <c r="K80" s="210"/>
      <c r="L80" s="211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</row>
    <row r="81" spans="1:28" x14ac:dyDescent="0.25">
      <c r="A81" s="208"/>
      <c r="B81" s="208" t="s">
        <v>442</v>
      </c>
      <c r="C81" s="208"/>
      <c r="D81" s="201"/>
      <c r="E81" s="209"/>
      <c r="F81" s="210"/>
      <c r="G81" s="210"/>
      <c r="H81" s="210"/>
      <c r="I81" s="211"/>
      <c r="J81" s="210"/>
      <c r="K81" s="210"/>
      <c r="L81" s="211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</row>
    <row r="82" spans="1:28" ht="25.5" x14ac:dyDescent="0.25">
      <c r="A82" s="208"/>
      <c r="B82" s="208" t="s">
        <v>443</v>
      </c>
      <c r="C82" s="208"/>
      <c r="D82" s="201"/>
      <c r="E82" s="209"/>
      <c r="F82" s="210"/>
      <c r="G82" s="210"/>
      <c r="H82" s="210"/>
      <c r="I82" s="211"/>
      <c r="J82" s="210"/>
      <c r="K82" s="210"/>
      <c r="L82" s="211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</row>
    <row r="83" spans="1:28" s="207" customFormat="1" x14ac:dyDescent="0.25">
      <c r="A83" s="212" t="s">
        <v>444</v>
      </c>
      <c r="B83" s="213" t="s">
        <v>445</v>
      </c>
      <c r="C83" s="213"/>
      <c r="D83" s="212"/>
      <c r="E83" s="204"/>
      <c r="F83" s="205">
        <f t="shared" ref="F83" si="46">G83+N83+O83+P83</f>
        <v>49195068.778626569</v>
      </c>
      <c r="G83" s="205">
        <f>G7+G15+G40+G48+G56</f>
        <v>36960199.998626567</v>
      </c>
      <c r="H83" s="205">
        <f>I83+J83</f>
        <v>0</v>
      </c>
      <c r="I83" s="205">
        <f>I77+I73+I56+I48+I40+I37+I15+I7</f>
        <v>0</v>
      </c>
      <c r="J83" s="205"/>
      <c r="K83" s="205">
        <f t="shared" ref="K83" si="47">L83+M83</f>
        <v>36960199.998626567</v>
      </c>
      <c r="L83" s="205">
        <f>L7+L15+L48+L56</f>
        <v>36960199.998626567</v>
      </c>
      <c r="M83" s="205"/>
      <c r="N83" s="205">
        <f>N7+N15+N40+N48+N56</f>
        <v>11967060</v>
      </c>
      <c r="O83" s="205">
        <f>O77+O73+O56+O48+O40+O37+O15+O7</f>
        <v>267808.78000000003</v>
      </c>
      <c r="P83" s="205">
        <f>P77+P73+P56+P48+P40+P37+P15+P7</f>
        <v>0</v>
      </c>
      <c r="Q83" s="223">
        <f>SUM(Q7:Q82)</f>
        <v>325400</v>
      </c>
      <c r="R83" s="223">
        <f t="shared" ref="R83:AA83" si="48">SUM(R7:R82)</f>
        <v>6921400</v>
      </c>
      <c r="S83" s="223">
        <f t="shared" si="48"/>
        <v>842600</v>
      </c>
      <c r="T83" s="223">
        <f t="shared" si="48"/>
        <v>3025460</v>
      </c>
      <c r="U83" s="223">
        <f t="shared" si="48"/>
        <v>97700</v>
      </c>
      <c r="V83" s="223">
        <f t="shared" si="48"/>
        <v>14400</v>
      </c>
      <c r="W83" s="223">
        <f t="shared" si="48"/>
        <v>310600</v>
      </c>
      <c r="X83" s="223">
        <f t="shared" si="48"/>
        <v>0</v>
      </c>
      <c r="Y83" s="223">
        <f t="shared" si="48"/>
        <v>428400</v>
      </c>
      <c r="Z83" s="223">
        <f t="shared" si="48"/>
        <v>0</v>
      </c>
      <c r="AA83" s="223">
        <f t="shared" si="48"/>
        <v>250000</v>
      </c>
      <c r="AB83" s="206"/>
    </row>
    <row r="84" spans="1:28" x14ac:dyDescent="0.25">
      <c r="A84" s="201" t="s">
        <v>446</v>
      </c>
      <c r="B84" s="208" t="s">
        <v>447</v>
      </c>
      <c r="C84" s="208"/>
      <c r="D84" s="201"/>
      <c r="E84" s="209"/>
      <c r="F84" s="210"/>
      <c r="G84" s="210"/>
      <c r="H84" s="210"/>
      <c r="I84" s="211"/>
      <c r="J84" s="210"/>
      <c r="K84" s="210"/>
      <c r="L84" s="211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</row>
    <row r="85" spans="1:28" x14ac:dyDescent="0.25">
      <c r="A85" s="208"/>
      <c r="B85" s="208" t="s">
        <v>356</v>
      </c>
      <c r="C85" s="208"/>
      <c r="D85" s="201"/>
      <c r="E85" s="209"/>
      <c r="F85" s="210"/>
      <c r="G85" s="210"/>
      <c r="H85" s="210"/>
      <c r="I85" s="211"/>
      <c r="J85" s="210"/>
      <c r="K85" s="210"/>
      <c r="L85" s="211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</row>
    <row r="86" spans="1:28" x14ac:dyDescent="0.25">
      <c r="A86" s="208"/>
      <c r="B86" s="208" t="s">
        <v>448</v>
      </c>
      <c r="C86" s="208"/>
      <c r="D86" s="201"/>
      <c r="E86" s="209"/>
      <c r="F86" s="210"/>
      <c r="G86" s="210"/>
      <c r="H86" s="210"/>
      <c r="I86" s="211"/>
      <c r="J86" s="210"/>
      <c r="K86" s="210"/>
      <c r="L86" s="211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</row>
    <row r="87" spans="1:28" x14ac:dyDescent="0.25">
      <c r="A87" s="208"/>
      <c r="B87" s="208" t="s">
        <v>449</v>
      </c>
      <c r="C87" s="208"/>
      <c r="D87" s="201"/>
      <c r="E87" s="209"/>
      <c r="F87" s="210"/>
      <c r="G87" s="210"/>
      <c r="H87" s="210"/>
      <c r="I87" s="211"/>
      <c r="J87" s="210"/>
      <c r="K87" s="210"/>
      <c r="L87" s="211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</row>
    <row r="88" spans="1:28" s="207" customFormat="1" x14ac:dyDescent="0.25">
      <c r="A88" s="212" t="s">
        <v>450</v>
      </c>
      <c r="B88" s="213" t="s">
        <v>451</v>
      </c>
      <c r="C88" s="213"/>
      <c r="D88" s="212"/>
      <c r="E88" s="204"/>
      <c r="F88" s="205">
        <f t="shared" ref="F88:M88" si="49">SUM(F90:F95)</f>
        <v>49195068.778626569</v>
      </c>
      <c r="G88" s="205">
        <f>SUM(G90:G95)</f>
        <v>36960199.998626567</v>
      </c>
      <c r="H88" s="205">
        <f>SUM(H90:H95)</f>
        <v>0</v>
      </c>
      <c r="I88" s="205">
        <f>SUM(I90:I95)</f>
        <v>0</v>
      </c>
      <c r="J88" s="205">
        <f t="shared" si="49"/>
        <v>0</v>
      </c>
      <c r="K88" s="205">
        <f t="shared" si="49"/>
        <v>36960199.998626567</v>
      </c>
      <c r="L88" s="205">
        <f t="shared" si="49"/>
        <v>36960199.998626567</v>
      </c>
      <c r="M88" s="205">
        <f t="shared" si="49"/>
        <v>0</v>
      </c>
      <c r="N88" s="205">
        <f>SUM(N90:N95)</f>
        <v>11967060</v>
      </c>
      <c r="O88" s="205">
        <f t="shared" ref="O88:P88" si="50">SUM(O90:O95)</f>
        <v>267808.78000000003</v>
      </c>
      <c r="P88" s="205">
        <f t="shared" si="50"/>
        <v>0</v>
      </c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6"/>
    </row>
    <row r="89" spans="1:28" x14ac:dyDescent="0.25">
      <c r="A89" s="208"/>
      <c r="B89" s="208" t="s">
        <v>356</v>
      </c>
      <c r="C89" s="208"/>
      <c r="D89" s="201"/>
      <c r="E89" s="209"/>
      <c r="F89" s="210"/>
      <c r="G89" s="210"/>
      <c r="H89" s="210"/>
      <c r="I89" s="211"/>
      <c r="J89" s="210"/>
      <c r="K89" s="210"/>
      <c r="L89" s="211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</row>
    <row r="90" spans="1:28" x14ac:dyDescent="0.25">
      <c r="A90" s="208"/>
      <c r="B90" s="208" t="s">
        <v>452</v>
      </c>
      <c r="C90" s="208"/>
      <c r="D90" s="201"/>
      <c r="E90" s="209"/>
      <c r="F90" s="210"/>
      <c r="G90" s="210"/>
      <c r="H90" s="210"/>
      <c r="I90" s="211"/>
      <c r="J90" s="210"/>
      <c r="K90" s="210"/>
      <c r="L90" s="211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24"/>
    </row>
    <row r="91" spans="1:28" x14ac:dyDescent="0.25">
      <c r="A91" s="208"/>
      <c r="B91" s="208" t="s">
        <v>453</v>
      </c>
      <c r="C91" s="208"/>
      <c r="D91" s="201"/>
      <c r="E91" s="209"/>
      <c r="F91" s="210">
        <f>G91+N91</f>
        <v>48927259.998626567</v>
      </c>
      <c r="G91" s="210">
        <f>H91+K91</f>
        <v>36960199.998626567</v>
      </c>
      <c r="H91" s="210">
        <f>I91+J91</f>
        <v>0</v>
      </c>
      <c r="I91" s="211">
        <f>I83</f>
        <v>0</v>
      </c>
      <c r="J91" s="210"/>
      <c r="K91" s="210">
        <f>K83</f>
        <v>36960199.998626567</v>
      </c>
      <c r="L91" s="211">
        <f>L83</f>
        <v>36960199.998626567</v>
      </c>
      <c r="M91" s="210"/>
      <c r="N91" s="210">
        <f>N83</f>
        <v>11967060</v>
      </c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</row>
    <row r="92" spans="1:28" x14ac:dyDescent="0.25">
      <c r="A92" s="208"/>
      <c r="B92" s="208" t="s">
        <v>454</v>
      </c>
      <c r="C92" s="208"/>
      <c r="D92" s="201"/>
      <c r="E92" s="209"/>
      <c r="F92" s="210"/>
      <c r="G92" s="210"/>
      <c r="H92" s="210"/>
      <c r="I92" s="211"/>
      <c r="J92" s="210"/>
      <c r="K92" s="210"/>
      <c r="L92" s="211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</row>
    <row r="93" spans="1:28" x14ac:dyDescent="0.25">
      <c r="A93" s="208"/>
      <c r="B93" s="208" t="s">
        <v>455</v>
      </c>
      <c r="C93" s="208"/>
      <c r="D93" s="201"/>
      <c r="E93" s="209"/>
      <c r="F93" s="210"/>
      <c r="G93" s="210"/>
      <c r="H93" s="210"/>
      <c r="I93" s="211"/>
      <c r="J93" s="210"/>
      <c r="K93" s="210"/>
      <c r="L93" s="211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</row>
    <row r="94" spans="1:28" x14ac:dyDescent="0.25">
      <c r="A94" s="208"/>
      <c r="B94" s="208" t="s">
        <v>456</v>
      </c>
      <c r="C94" s="208"/>
      <c r="D94" s="201"/>
      <c r="E94" s="209"/>
      <c r="F94" s="210">
        <f>O94+P94</f>
        <v>267808.78000000003</v>
      </c>
      <c r="G94" s="210"/>
      <c r="H94" s="210"/>
      <c r="I94" s="225"/>
      <c r="J94" s="210"/>
      <c r="K94" s="210"/>
      <c r="L94" s="211"/>
      <c r="M94" s="210"/>
      <c r="N94" s="210"/>
      <c r="O94" s="210">
        <f>O83</f>
        <v>267808.78000000003</v>
      </c>
      <c r="P94" s="210">
        <f>P83</f>
        <v>0</v>
      </c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</row>
    <row r="95" spans="1:28" x14ac:dyDescent="0.25">
      <c r="A95" s="208"/>
      <c r="B95" s="208" t="s">
        <v>457</v>
      </c>
      <c r="C95" s="208"/>
      <c r="D95" s="201"/>
      <c r="E95" s="209"/>
      <c r="F95" s="210"/>
      <c r="G95" s="210"/>
      <c r="H95" s="210"/>
      <c r="I95" s="211"/>
      <c r="J95" s="210"/>
      <c r="K95" s="210"/>
      <c r="L95" s="211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</row>
    <row r="96" spans="1:28" s="232" customFormat="1" x14ac:dyDescent="0.25">
      <c r="A96" s="226" t="s">
        <v>458</v>
      </c>
      <c r="B96" s="227" t="s">
        <v>459</v>
      </c>
      <c r="C96" s="227"/>
      <c r="D96" s="226"/>
      <c r="E96" s="228"/>
      <c r="F96" s="229">
        <f>G96+N96+O96+P96</f>
        <v>49176160</v>
      </c>
      <c r="G96" s="229">
        <f t="shared" ref="G96" si="51">H96+K96</f>
        <v>36960200</v>
      </c>
      <c r="H96" s="229">
        <f t="shared" ref="H96" si="52">I96+J96</f>
        <v>0</v>
      </c>
      <c r="I96" s="230"/>
      <c r="J96" s="229"/>
      <c r="K96" s="229">
        <f t="shared" ref="K96:K99" si="53">L96+M96</f>
        <v>36960200</v>
      </c>
      <c r="L96" s="230">
        <f>L98</f>
        <v>36960200</v>
      </c>
      <c r="M96" s="229"/>
      <c r="N96" s="229">
        <f>N114</f>
        <v>11965960</v>
      </c>
      <c r="O96" s="229">
        <f>O98</f>
        <v>250000.00000000003</v>
      </c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31">
        <f>L96+H94</f>
        <v>36960200</v>
      </c>
    </row>
    <row r="97" spans="1:28" s="238" customFormat="1" x14ac:dyDescent="0.25">
      <c r="A97" s="233"/>
      <c r="B97" s="233" t="s">
        <v>356</v>
      </c>
      <c r="C97" s="233"/>
      <c r="D97" s="234"/>
      <c r="E97" s="235"/>
      <c r="F97" s="236"/>
      <c r="G97" s="236"/>
      <c r="H97" s="236"/>
      <c r="I97" s="211"/>
      <c r="J97" s="236"/>
      <c r="K97" s="236"/>
      <c r="L97" s="211"/>
      <c r="M97" s="210">
        <f>M89</f>
        <v>0</v>
      </c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7"/>
    </row>
    <row r="98" spans="1:28" s="238" customFormat="1" ht="27" customHeight="1" x14ac:dyDescent="0.25">
      <c r="A98" s="234" t="s">
        <v>460</v>
      </c>
      <c r="B98" s="233" t="s">
        <v>461</v>
      </c>
      <c r="C98" s="234">
        <v>1200</v>
      </c>
      <c r="D98" s="234">
        <v>130</v>
      </c>
      <c r="E98" s="235"/>
      <c r="F98" s="236">
        <f t="shared" ref="F98" si="54">G98+N98+O98+P98</f>
        <v>37210200</v>
      </c>
      <c r="G98" s="236">
        <f t="shared" ref="G98:G99" si="55">H98+K98</f>
        <v>36960200</v>
      </c>
      <c r="H98" s="236">
        <f t="shared" ref="H98:H99" si="56">I98+J98</f>
        <v>0</v>
      </c>
      <c r="I98" s="211"/>
      <c r="J98" s="236"/>
      <c r="K98" s="236">
        <f t="shared" ref="K98" si="57">L98+M98</f>
        <v>36960200</v>
      </c>
      <c r="L98" s="211">
        <f>L99</f>
        <v>36960200</v>
      </c>
      <c r="M98" s="236"/>
      <c r="N98" s="236"/>
      <c r="O98" s="236">
        <f>O109</f>
        <v>250000.00000000003</v>
      </c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7"/>
    </row>
    <row r="99" spans="1:28" s="238" customFormat="1" ht="25.5" x14ac:dyDescent="0.25">
      <c r="A99" s="233"/>
      <c r="B99" s="233" t="s">
        <v>462</v>
      </c>
      <c r="C99" s="234">
        <v>1210</v>
      </c>
      <c r="D99" s="234">
        <v>130</v>
      </c>
      <c r="E99" s="235"/>
      <c r="F99" s="236">
        <f>G99+N99+O99+P99</f>
        <v>36960200</v>
      </c>
      <c r="G99" s="236">
        <f t="shared" si="55"/>
        <v>36960200</v>
      </c>
      <c r="H99" s="236">
        <f t="shared" si="56"/>
        <v>0</v>
      </c>
      <c r="I99" s="211"/>
      <c r="J99" s="236"/>
      <c r="K99" s="236">
        <f t="shared" si="53"/>
        <v>36960200</v>
      </c>
      <c r="L99" s="211">
        <f>L102</f>
        <v>36960200</v>
      </c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9"/>
    </row>
    <row r="100" spans="1:28" s="238" customFormat="1" x14ac:dyDescent="0.25">
      <c r="A100" s="233"/>
      <c r="B100" s="233" t="s">
        <v>356</v>
      </c>
      <c r="C100" s="233"/>
      <c r="D100" s="234"/>
      <c r="E100" s="235"/>
      <c r="F100" s="236"/>
      <c r="G100" s="236"/>
      <c r="H100" s="236"/>
      <c r="I100" s="211"/>
      <c r="J100" s="236"/>
      <c r="K100" s="236"/>
      <c r="L100" s="211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7"/>
    </row>
    <row r="101" spans="1:28" s="238" customFormat="1" x14ac:dyDescent="0.25">
      <c r="A101" s="233"/>
      <c r="B101" s="233" t="s">
        <v>463</v>
      </c>
      <c r="C101" s="233"/>
      <c r="D101" s="234"/>
      <c r="E101" s="235"/>
      <c r="F101" s="236"/>
      <c r="G101" s="236"/>
      <c r="H101" s="236"/>
      <c r="I101" s="211"/>
      <c r="J101" s="236"/>
      <c r="K101" s="236"/>
      <c r="L101" s="211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7"/>
    </row>
    <row r="102" spans="1:28" s="238" customFormat="1" x14ac:dyDescent="0.25">
      <c r="A102" s="233"/>
      <c r="B102" s="233" t="s">
        <v>464</v>
      </c>
      <c r="C102" s="233"/>
      <c r="D102" s="234"/>
      <c r="E102" s="235"/>
      <c r="F102" s="236">
        <f>G102+N102+O102+P102</f>
        <v>36960200</v>
      </c>
      <c r="G102" s="236">
        <f t="shared" ref="G102" si="58">H102+K102</f>
        <v>36960200</v>
      </c>
      <c r="H102" s="236">
        <f t="shared" ref="H102" si="59">I102+J102</f>
        <v>0</v>
      </c>
      <c r="I102" s="211"/>
      <c r="J102" s="236"/>
      <c r="K102" s="236">
        <f t="shared" ref="K102" si="60">L102+M102</f>
        <v>36960200</v>
      </c>
      <c r="L102" s="211">
        <v>36960200</v>
      </c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7"/>
    </row>
    <row r="103" spans="1:28" s="238" customFormat="1" x14ac:dyDescent="0.25">
      <c r="A103" s="233"/>
      <c r="B103" s="233" t="s">
        <v>465</v>
      </c>
      <c r="C103" s="233"/>
      <c r="D103" s="234"/>
      <c r="E103" s="235"/>
      <c r="F103" s="236"/>
      <c r="G103" s="236"/>
      <c r="H103" s="236"/>
      <c r="I103" s="211"/>
      <c r="J103" s="236"/>
      <c r="K103" s="236"/>
      <c r="L103" s="211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7"/>
    </row>
    <row r="104" spans="1:28" s="238" customFormat="1" ht="38.25" x14ac:dyDescent="0.25">
      <c r="A104" s="233"/>
      <c r="B104" s="240" t="s">
        <v>466</v>
      </c>
      <c r="C104" s="233"/>
      <c r="D104" s="234"/>
      <c r="E104" s="235"/>
      <c r="F104" s="236"/>
      <c r="G104" s="236"/>
      <c r="H104" s="236"/>
      <c r="I104" s="211"/>
      <c r="J104" s="236"/>
      <c r="K104" s="236"/>
      <c r="L104" s="211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7"/>
    </row>
    <row r="105" spans="1:28" s="238" customFormat="1" ht="25.5" x14ac:dyDescent="0.25">
      <c r="A105" s="233"/>
      <c r="B105" s="233" t="s">
        <v>467</v>
      </c>
      <c r="C105" s="233"/>
      <c r="D105" s="234"/>
      <c r="E105" s="235"/>
      <c r="F105" s="236"/>
      <c r="G105" s="236"/>
      <c r="H105" s="236"/>
      <c r="I105" s="211"/>
      <c r="J105" s="236"/>
      <c r="K105" s="236"/>
      <c r="L105" s="211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7"/>
    </row>
    <row r="106" spans="1:28" s="238" customFormat="1" ht="25.5" x14ac:dyDescent="0.25">
      <c r="A106" s="233"/>
      <c r="B106" s="233" t="s">
        <v>246</v>
      </c>
      <c r="C106" s="233"/>
      <c r="D106" s="234"/>
      <c r="E106" s="235"/>
      <c r="F106" s="236"/>
      <c r="G106" s="236"/>
      <c r="H106" s="236"/>
      <c r="I106" s="211"/>
      <c r="J106" s="236"/>
      <c r="K106" s="236"/>
      <c r="L106" s="211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7"/>
    </row>
    <row r="107" spans="1:28" s="238" customFormat="1" ht="25.5" x14ac:dyDescent="0.25">
      <c r="A107" s="233"/>
      <c r="B107" s="233" t="s">
        <v>468</v>
      </c>
      <c r="C107" s="233"/>
      <c r="D107" s="234"/>
      <c r="E107" s="235"/>
      <c r="F107" s="236"/>
      <c r="G107" s="236"/>
      <c r="H107" s="236"/>
      <c r="I107" s="211"/>
      <c r="J107" s="236"/>
      <c r="K107" s="236"/>
      <c r="L107" s="211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7"/>
    </row>
    <row r="108" spans="1:28" s="238" customFormat="1" x14ac:dyDescent="0.25">
      <c r="A108" s="233"/>
      <c r="B108" s="233" t="s">
        <v>469</v>
      </c>
      <c r="C108" s="233"/>
      <c r="D108" s="234"/>
      <c r="E108" s="235"/>
      <c r="F108" s="236"/>
      <c r="G108" s="236"/>
      <c r="H108" s="236"/>
      <c r="I108" s="211"/>
      <c r="J108" s="236"/>
      <c r="K108" s="236"/>
      <c r="L108" s="211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7"/>
    </row>
    <row r="109" spans="1:28" s="238" customFormat="1" ht="25.5" x14ac:dyDescent="0.25">
      <c r="A109" s="233"/>
      <c r="B109" s="233" t="s">
        <v>470</v>
      </c>
      <c r="C109" s="234">
        <v>1230</v>
      </c>
      <c r="D109" s="234">
        <v>130</v>
      </c>
      <c r="E109" s="235"/>
      <c r="F109" s="236">
        <f>G109+N109+O109+P109</f>
        <v>250000.00000000003</v>
      </c>
      <c r="G109" s="236">
        <f t="shared" ref="G109" si="61">H109+K109</f>
        <v>0</v>
      </c>
      <c r="H109" s="236">
        <f t="shared" ref="H109" si="62">I109+J109</f>
        <v>0</v>
      </c>
      <c r="I109" s="211"/>
      <c r="J109" s="236"/>
      <c r="K109" s="236"/>
      <c r="L109" s="211"/>
      <c r="M109" s="236"/>
      <c r="N109" s="236"/>
      <c r="O109" s="236">
        <f>O88-O158</f>
        <v>250000.00000000003</v>
      </c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7"/>
    </row>
    <row r="110" spans="1:28" s="238" customFormat="1" ht="25.5" x14ac:dyDescent="0.25">
      <c r="A110" s="234" t="s">
        <v>471</v>
      </c>
      <c r="B110" s="233" t="s">
        <v>472</v>
      </c>
      <c r="C110" s="234">
        <v>1300</v>
      </c>
      <c r="D110" s="234">
        <v>140</v>
      </c>
      <c r="E110" s="235"/>
      <c r="F110" s="236"/>
      <c r="G110" s="236"/>
      <c r="H110" s="236"/>
      <c r="I110" s="211"/>
      <c r="J110" s="236"/>
      <c r="K110" s="236"/>
      <c r="L110" s="211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7"/>
    </row>
    <row r="111" spans="1:28" s="238" customFormat="1" x14ac:dyDescent="0.25">
      <c r="A111" s="233"/>
      <c r="B111" s="233" t="s">
        <v>237</v>
      </c>
      <c r="C111" s="234">
        <v>1310</v>
      </c>
      <c r="D111" s="234">
        <v>140</v>
      </c>
      <c r="E111" s="235"/>
      <c r="F111" s="236"/>
      <c r="G111" s="236"/>
      <c r="H111" s="236"/>
      <c r="I111" s="211"/>
      <c r="J111" s="236"/>
      <c r="K111" s="236"/>
      <c r="L111" s="211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7"/>
    </row>
    <row r="112" spans="1:28" s="238" customFormat="1" x14ac:dyDescent="0.25">
      <c r="A112" s="234" t="s">
        <v>473</v>
      </c>
      <c r="B112" s="233" t="s">
        <v>474</v>
      </c>
      <c r="C112" s="234">
        <v>1400</v>
      </c>
      <c r="D112" s="234">
        <v>150</v>
      </c>
      <c r="E112" s="235"/>
      <c r="F112" s="236"/>
      <c r="G112" s="236"/>
      <c r="H112" s="236"/>
      <c r="I112" s="211"/>
      <c r="J112" s="236"/>
      <c r="K112" s="236"/>
      <c r="L112" s="211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7"/>
    </row>
    <row r="113" spans="1:28" s="238" customFormat="1" x14ac:dyDescent="0.25">
      <c r="A113" s="233"/>
      <c r="B113" s="233" t="s">
        <v>237</v>
      </c>
      <c r="C113" s="234">
        <v>1410</v>
      </c>
      <c r="D113" s="234">
        <v>150</v>
      </c>
      <c r="E113" s="235"/>
      <c r="F113" s="236"/>
      <c r="G113" s="236"/>
      <c r="H113" s="236"/>
      <c r="I113" s="211"/>
      <c r="J113" s="236"/>
      <c r="K113" s="236"/>
      <c r="L113" s="211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7"/>
    </row>
    <row r="114" spans="1:28" s="238" customFormat="1" x14ac:dyDescent="0.25">
      <c r="A114" s="234" t="s">
        <v>475</v>
      </c>
      <c r="B114" s="233" t="s">
        <v>476</v>
      </c>
      <c r="C114" s="234">
        <v>1500</v>
      </c>
      <c r="D114" s="234">
        <v>180</v>
      </c>
      <c r="E114" s="235"/>
      <c r="F114" s="236">
        <f>G114+N114+O114+P114</f>
        <v>11965960</v>
      </c>
      <c r="G114" s="236">
        <f t="shared" ref="G114" si="63">H114+K114</f>
        <v>0</v>
      </c>
      <c r="H114" s="236">
        <f t="shared" ref="H114" si="64">I114+J114</f>
        <v>0</v>
      </c>
      <c r="I114" s="211"/>
      <c r="J114" s="236"/>
      <c r="K114" s="236"/>
      <c r="L114" s="211"/>
      <c r="M114" s="236"/>
      <c r="N114" s="236">
        <f>N116+N119+N122+N125+N128+N131+N134+N137+N140+N143+N146+N149+N152</f>
        <v>11965960</v>
      </c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7"/>
    </row>
    <row r="115" spans="1:28" s="238" customFormat="1" x14ac:dyDescent="0.25">
      <c r="A115" s="233"/>
      <c r="B115" s="233" t="s">
        <v>237</v>
      </c>
      <c r="C115" s="233"/>
      <c r="D115" s="234"/>
      <c r="E115" s="235"/>
      <c r="F115" s="236"/>
      <c r="G115" s="236"/>
      <c r="H115" s="236"/>
      <c r="I115" s="211"/>
      <c r="J115" s="236"/>
      <c r="K115" s="236"/>
      <c r="L115" s="211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7"/>
    </row>
    <row r="116" spans="1:28" s="238" customFormat="1" ht="51" x14ac:dyDescent="0.25">
      <c r="A116" s="233"/>
      <c r="B116" s="233" t="s">
        <v>477</v>
      </c>
      <c r="C116" s="234">
        <v>1510</v>
      </c>
      <c r="D116" s="234">
        <v>180</v>
      </c>
      <c r="E116" s="235"/>
      <c r="F116" s="236">
        <f>G116+N116+O116+P116</f>
        <v>325400</v>
      </c>
      <c r="G116" s="236">
        <f t="shared" ref="G116:G156" si="65">H116+K116</f>
        <v>0</v>
      </c>
      <c r="H116" s="236">
        <f t="shared" ref="H116:H156" si="66">I116+J116</f>
        <v>0</v>
      </c>
      <c r="I116" s="211"/>
      <c r="J116" s="236"/>
      <c r="K116" s="236"/>
      <c r="L116" s="211"/>
      <c r="M116" s="236"/>
      <c r="N116" s="236">
        <f>N117</f>
        <v>325400</v>
      </c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7">
        <v>7019</v>
      </c>
    </row>
    <row r="117" spans="1:28" s="238" customFormat="1" x14ac:dyDescent="0.25">
      <c r="A117" s="233"/>
      <c r="B117" s="233" t="s">
        <v>464</v>
      </c>
      <c r="C117" s="233"/>
      <c r="D117" s="234"/>
      <c r="E117" s="235"/>
      <c r="F117" s="236">
        <f>G117+N117+O117+P117</f>
        <v>325400</v>
      </c>
      <c r="G117" s="236">
        <f t="shared" si="65"/>
        <v>0</v>
      </c>
      <c r="H117" s="236">
        <f t="shared" si="66"/>
        <v>0</v>
      </c>
      <c r="I117" s="211"/>
      <c r="J117" s="236"/>
      <c r="K117" s="236"/>
      <c r="L117" s="211"/>
      <c r="M117" s="236"/>
      <c r="N117" s="236">
        <f>Q12</f>
        <v>325400</v>
      </c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7"/>
    </row>
    <row r="118" spans="1:28" s="238" customFormat="1" x14ac:dyDescent="0.25">
      <c r="A118" s="233"/>
      <c r="B118" s="233" t="s">
        <v>465</v>
      </c>
      <c r="C118" s="233"/>
      <c r="D118" s="234"/>
      <c r="E118" s="235"/>
      <c r="F118" s="236">
        <f>G118+N118+O118+P118</f>
        <v>0</v>
      </c>
      <c r="G118" s="236">
        <f t="shared" si="65"/>
        <v>0</v>
      </c>
      <c r="H118" s="236">
        <f t="shared" si="66"/>
        <v>0</v>
      </c>
      <c r="I118" s="211"/>
      <c r="J118" s="236"/>
      <c r="K118" s="236"/>
      <c r="L118" s="211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7"/>
    </row>
    <row r="119" spans="1:28" s="238" customFormat="1" ht="25.5" x14ac:dyDescent="0.25">
      <c r="A119" s="233"/>
      <c r="B119" s="233" t="s">
        <v>478</v>
      </c>
      <c r="C119" s="234">
        <v>1520</v>
      </c>
      <c r="D119" s="234">
        <v>180</v>
      </c>
      <c r="E119" s="235"/>
      <c r="F119" s="236">
        <f t="shared" ref="F119:F156" si="67">G119+N119+O119+P119</f>
        <v>0</v>
      </c>
      <c r="G119" s="236">
        <f t="shared" si="65"/>
        <v>0</v>
      </c>
      <c r="H119" s="236">
        <f t="shared" si="66"/>
        <v>0</v>
      </c>
      <c r="I119" s="211"/>
      <c r="J119" s="236"/>
      <c r="K119" s="236"/>
      <c r="L119" s="211"/>
      <c r="M119" s="236"/>
      <c r="N119" s="236">
        <f>N120</f>
        <v>0</v>
      </c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7"/>
    </row>
    <row r="120" spans="1:28" s="238" customFormat="1" x14ac:dyDescent="0.25">
      <c r="A120" s="233"/>
      <c r="B120" s="233" t="s">
        <v>464</v>
      </c>
      <c r="C120" s="233"/>
      <c r="D120" s="234"/>
      <c r="E120" s="235"/>
      <c r="F120" s="236">
        <f t="shared" si="67"/>
        <v>0</v>
      </c>
      <c r="G120" s="236">
        <f t="shared" si="65"/>
        <v>0</v>
      </c>
      <c r="H120" s="236">
        <f t="shared" si="66"/>
        <v>0</v>
      </c>
      <c r="I120" s="211"/>
      <c r="J120" s="236"/>
      <c r="K120" s="236"/>
      <c r="L120" s="211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7"/>
    </row>
    <row r="121" spans="1:28" s="238" customFormat="1" x14ac:dyDescent="0.25">
      <c r="A121" s="233"/>
      <c r="B121" s="233" t="s">
        <v>465</v>
      </c>
      <c r="C121" s="233"/>
      <c r="D121" s="234"/>
      <c r="E121" s="235"/>
      <c r="F121" s="236">
        <f t="shared" si="67"/>
        <v>0</v>
      </c>
      <c r="G121" s="236">
        <f t="shared" si="65"/>
        <v>0</v>
      </c>
      <c r="H121" s="236">
        <f t="shared" si="66"/>
        <v>0</v>
      </c>
      <c r="I121" s="211"/>
      <c r="J121" s="236"/>
      <c r="K121" s="236"/>
      <c r="L121" s="211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7"/>
    </row>
    <row r="122" spans="1:28" s="238" customFormat="1" ht="38.25" x14ac:dyDescent="0.25">
      <c r="A122" s="233"/>
      <c r="B122" s="233" t="s">
        <v>479</v>
      </c>
      <c r="C122" s="234">
        <v>1530</v>
      </c>
      <c r="D122" s="234">
        <v>180</v>
      </c>
      <c r="E122" s="235"/>
      <c r="F122" s="236">
        <f t="shared" si="67"/>
        <v>6921400</v>
      </c>
      <c r="G122" s="236">
        <f t="shared" si="65"/>
        <v>0</v>
      </c>
      <c r="H122" s="236">
        <f t="shared" si="66"/>
        <v>0</v>
      </c>
      <c r="I122" s="211"/>
      <c r="J122" s="236"/>
      <c r="K122" s="236"/>
      <c r="L122" s="211"/>
      <c r="M122" s="236"/>
      <c r="N122" s="236">
        <f>N123</f>
        <v>6921400</v>
      </c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7">
        <v>7020</v>
      </c>
    </row>
    <row r="123" spans="1:28" s="238" customFormat="1" x14ac:dyDescent="0.25">
      <c r="A123" s="233"/>
      <c r="B123" s="233" t="s">
        <v>464</v>
      </c>
      <c r="C123" s="233"/>
      <c r="D123" s="234"/>
      <c r="E123" s="235"/>
      <c r="F123" s="236">
        <f t="shared" si="67"/>
        <v>6921400</v>
      </c>
      <c r="G123" s="236">
        <f t="shared" si="65"/>
        <v>0</v>
      </c>
      <c r="H123" s="236">
        <f t="shared" si="66"/>
        <v>0</v>
      </c>
      <c r="I123" s="211"/>
      <c r="J123" s="236"/>
      <c r="K123" s="236"/>
      <c r="L123" s="211"/>
      <c r="M123" s="236"/>
      <c r="N123" s="236">
        <f>R83</f>
        <v>6921400</v>
      </c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7"/>
    </row>
    <row r="124" spans="1:28" s="238" customFormat="1" x14ac:dyDescent="0.25">
      <c r="A124" s="233"/>
      <c r="B124" s="233" t="s">
        <v>465</v>
      </c>
      <c r="C124" s="233"/>
      <c r="D124" s="234"/>
      <c r="E124" s="235"/>
      <c r="F124" s="236">
        <f t="shared" si="67"/>
        <v>0</v>
      </c>
      <c r="G124" s="236">
        <f t="shared" si="65"/>
        <v>0</v>
      </c>
      <c r="H124" s="236">
        <f t="shared" si="66"/>
        <v>0</v>
      </c>
      <c r="I124" s="211"/>
      <c r="J124" s="236"/>
      <c r="K124" s="236"/>
      <c r="L124" s="211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7"/>
    </row>
    <row r="125" spans="1:28" s="238" customFormat="1" ht="38.25" x14ac:dyDescent="0.25">
      <c r="A125" s="233"/>
      <c r="B125" s="233" t="s">
        <v>480</v>
      </c>
      <c r="C125" s="234">
        <v>1540</v>
      </c>
      <c r="D125" s="234">
        <v>180</v>
      </c>
      <c r="E125" s="235"/>
      <c r="F125" s="236">
        <f t="shared" si="67"/>
        <v>97700</v>
      </c>
      <c r="G125" s="236">
        <f t="shared" si="65"/>
        <v>0</v>
      </c>
      <c r="H125" s="236">
        <f t="shared" si="66"/>
        <v>0</v>
      </c>
      <c r="I125" s="211"/>
      <c r="J125" s="236"/>
      <c r="K125" s="236"/>
      <c r="L125" s="211"/>
      <c r="M125" s="236"/>
      <c r="N125" s="236">
        <f>N126</f>
        <v>97700</v>
      </c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7" t="s">
        <v>481</v>
      </c>
    </row>
    <row r="126" spans="1:28" s="238" customFormat="1" x14ac:dyDescent="0.25">
      <c r="A126" s="233"/>
      <c r="B126" s="233" t="s">
        <v>464</v>
      </c>
      <c r="C126" s="233"/>
      <c r="D126" s="234"/>
      <c r="E126" s="235"/>
      <c r="F126" s="236">
        <f t="shared" si="67"/>
        <v>97700</v>
      </c>
      <c r="G126" s="236">
        <f t="shared" si="65"/>
        <v>0</v>
      </c>
      <c r="H126" s="236">
        <f t="shared" si="66"/>
        <v>0</v>
      </c>
      <c r="I126" s="211"/>
      <c r="J126" s="236"/>
      <c r="K126" s="236"/>
      <c r="L126" s="211"/>
      <c r="M126" s="236"/>
      <c r="N126" s="236">
        <f>U83</f>
        <v>97700</v>
      </c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7"/>
    </row>
    <row r="127" spans="1:28" s="238" customFormat="1" x14ac:dyDescent="0.25">
      <c r="A127" s="233"/>
      <c r="B127" s="233" t="s">
        <v>465</v>
      </c>
      <c r="C127" s="233"/>
      <c r="D127" s="234"/>
      <c r="E127" s="235"/>
      <c r="F127" s="236">
        <f t="shared" si="67"/>
        <v>0</v>
      </c>
      <c r="G127" s="236">
        <f t="shared" si="65"/>
        <v>0</v>
      </c>
      <c r="H127" s="236">
        <f t="shared" si="66"/>
        <v>0</v>
      </c>
      <c r="I127" s="211"/>
      <c r="J127" s="236"/>
      <c r="K127" s="236"/>
      <c r="L127" s="211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7"/>
    </row>
    <row r="128" spans="1:28" s="238" customFormat="1" ht="51" x14ac:dyDescent="0.25">
      <c r="A128" s="233"/>
      <c r="B128" s="233" t="s">
        <v>482</v>
      </c>
      <c r="C128" s="234">
        <v>1550</v>
      </c>
      <c r="D128" s="234">
        <v>180</v>
      </c>
      <c r="E128" s="235"/>
      <c r="F128" s="236">
        <f t="shared" si="67"/>
        <v>428400</v>
      </c>
      <c r="G128" s="236">
        <f t="shared" si="65"/>
        <v>0</v>
      </c>
      <c r="H128" s="236">
        <f t="shared" si="66"/>
        <v>0</v>
      </c>
      <c r="I128" s="211"/>
      <c r="J128" s="236"/>
      <c r="K128" s="236"/>
      <c r="L128" s="211"/>
      <c r="M128" s="236"/>
      <c r="N128" s="236">
        <f>N129</f>
        <v>428400</v>
      </c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7">
        <v>7451</v>
      </c>
    </row>
    <row r="129" spans="1:28" s="238" customFormat="1" x14ac:dyDescent="0.25">
      <c r="A129" s="233"/>
      <c r="B129" s="233" t="s">
        <v>464</v>
      </c>
      <c r="C129" s="233"/>
      <c r="D129" s="234"/>
      <c r="E129" s="235"/>
      <c r="F129" s="236">
        <f t="shared" si="67"/>
        <v>428400</v>
      </c>
      <c r="G129" s="236">
        <f t="shared" si="65"/>
        <v>0</v>
      </c>
      <c r="H129" s="236">
        <f t="shared" si="66"/>
        <v>0</v>
      </c>
      <c r="I129" s="211"/>
      <c r="J129" s="236"/>
      <c r="K129" s="236"/>
      <c r="L129" s="211"/>
      <c r="M129" s="236"/>
      <c r="N129" s="236">
        <f>Y83</f>
        <v>428400</v>
      </c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7"/>
    </row>
    <row r="130" spans="1:28" s="238" customFormat="1" x14ac:dyDescent="0.25">
      <c r="A130" s="233"/>
      <c r="B130" s="233" t="s">
        <v>465</v>
      </c>
      <c r="C130" s="233"/>
      <c r="D130" s="234"/>
      <c r="E130" s="235"/>
      <c r="F130" s="236">
        <f t="shared" si="67"/>
        <v>0</v>
      </c>
      <c r="G130" s="236">
        <f t="shared" si="65"/>
        <v>0</v>
      </c>
      <c r="H130" s="236">
        <f t="shared" si="66"/>
        <v>0</v>
      </c>
      <c r="I130" s="211"/>
      <c r="J130" s="236"/>
      <c r="K130" s="236"/>
      <c r="L130" s="211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7"/>
    </row>
    <row r="131" spans="1:28" s="238" customFormat="1" ht="63.75" x14ac:dyDescent="0.25">
      <c r="A131" s="233"/>
      <c r="B131" s="233" t="s">
        <v>483</v>
      </c>
      <c r="C131" s="234">
        <v>1560</v>
      </c>
      <c r="D131" s="234">
        <v>180</v>
      </c>
      <c r="E131" s="235"/>
      <c r="F131" s="236">
        <f t="shared" si="67"/>
        <v>0</v>
      </c>
      <c r="G131" s="236">
        <f t="shared" si="65"/>
        <v>0</v>
      </c>
      <c r="H131" s="236">
        <f t="shared" si="66"/>
        <v>0</v>
      </c>
      <c r="I131" s="211"/>
      <c r="J131" s="236"/>
      <c r="K131" s="236"/>
      <c r="L131" s="211"/>
      <c r="M131" s="236"/>
      <c r="N131" s="236">
        <f>N132</f>
        <v>0</v>
      </c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7">
        <v>7033</v>
      </c>
    </row>
    <row r="132" spans="1:28" s="238" customFormat="1" x14ac:dyDescent="0.25">
      <c r="A132" s="233"/>
      <c r="B132" s="233" t="s">
        <v>464</v>
      </c>
      <c r="C132" s="233"/>
      <c r="D132" s="234"/>
      <c r="E132" s="235"/>
      <c r="F132" s="236">
        <f t="shared" si="67"/>
        <v>0</v>
      </c>
      <c r="G132" s="236">
        <f t="shared" si="65"/>
        <v>0</v>
      </c>
      <c r="H132" s="236">
        <f t="shared" si="66"/>
        <v>0</v>
      </c>
      <c r="I132" s="211"/>
      <c r="J132" s="236"/>
      <c r="K132" s="236"/>
      <c r="L132" s="211"/>
      <c r="M132" s="236"/>
      <c r="N132" s="236">
        <f>X83</f>
        <v>0</v>
      </c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7"/>
    </row>
    <row r="133" spans="1:28" s="238" customFormat="1" x14ac:dyDescent="0.25">
      <c r="A133" s="233"/>
      <c r="B133" s="233" t="s">
        <v>465</v>
      </c>
      <c r="C133" s="233"/>
      <c r="D133" s="234"/>
      <c r="E133" s="235"/>
      <c r="F133" s="236">
        <f t="shared" si="67"/>
        <v>0</v>
      </c>
      <c r="G133" s="236">
        <f t="shared" si="65"/>
        <v>0</v>
      </c>
      <c r="H133" s="236">
        <f t="shared" si="66"/>
        <v>0</v>
      </c>
      <c r="I133" s="211"/>
      <c r="J133" s="236"/>
      <c r="K133" s="236"/>
      <c r="L133" s="211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7"/>
    </row>
    <row r="134" spans="1:28" s="238" customFormat="1" ht="51" x14ac:dyDescent="0.25">
      <c r="A134" s="233"/>
      <c r="B134" s="233" t="s">
        <v>484</v>
      </c>
      <c r="C134" s="234">
        <v>1570</v>
      </c>
      <c r="D134" s="234">
        <v>180</v>
      </c>
      <c r="E134" s="235"/>
      <c r="F134" s="236">
        <f t="shared" si="67"/>
        <v>842600</v>
      </c>
      <c r="G134" s="236">
        <f t="shared" si="65"/>
        <v>0</v>
      </c>
      <c r="H134" s="236">
        <f t="shared" si="66"/>
        <v>0</v>
      </c>
      <c r="I134" s="211"/>
      <c r="J134" s="236"/>
      <c r="K134" s="236"/>
      <c r="L134" s="211"/>
      <c r="M134" s="236"/>
      <c r="N134" s="236">
        <f>N135</f>
        <v>842600</v>
      </c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7">
        <v>7450</v>
      </c>
    </row>
    <row r="135" spans="1:28" s="238" customFormat="1" x14ac:dyDescent="0.25">
      <c r="A135" s="233"/>
      <c r="B135" s="233" t="s">
        <v>464</v>
      </c>
      <c r="C135" s="233"/>
      <c r="D135" s="234"/>
      <c r="E135" s="235"/>
      <c r="F135" s="236">
        <f t="shared" si="67"/>
        <v>842600</v>
      </c>
      <c r="G135" s="236">
        <f t="shared" si="65"/>
        <v>0</v>
      </c>
      <c r="H135" s="236">
        <f t="shared" si="66"/>
        <v>0</v>
      </c>
      <c r="I135" s="211"/>
      <c r="J135" s="236"/>
      <c r="K135" s="236"/>
      <c r="L135" s="211"/>
      <c r="M135" s="236"/>
      <c r="N135" s="236">
        <f>S83</f>
        <v>842600</v>
      </c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7"/>
    </row>
    <row r="136" spans="1:28" s="238" customFormat="1" x14ac:dyDescent="0.25">
      <c r="A136" s="233"/>
      <c r="B136" s="233" t="s">
        <v>465</v>
      </c>
      <c r="C136" s="233"/>
      <c r="D136" s="234"/>
      <c r="E136" s="235"/>
      <c r="F136" s="236">
        <f t="shared" si="67"/>
        <v>0</v>
      </c>
      <c r="G136" s="236">
        <f t="shared" si="65"/>
        <v>0</v>
      </c>
      <c r="H136" s="236">
        <f t="shared" si="66"/>
        <v>0</v>
      </c>
      <c r="I136" s="211"/>
      <c r="J136" s="236"/>
      <c r="K136" s="236"/>
      <c r="L136" s="211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7"/>
    </row>
    <row r="137" spans="1:28" s="238" customFormat="1" ht="51" x14ac:dyDescent="0.25">
      <c r="A137" s="233"/>
      <c r="B137" s="233" t="s">
        <v>485</v>
      </c>
      <c r="C137" s="234">
        <v>1580</v>
      </c>
      <c r="D137" s="234">
        <v>180</v>
      </c>
      <c r="E137" s="235"/>
      <c r="F137" s="236">
        <f t="shared" si="67"/>
        <v>14400</v>
      </c>
      <c r="G137" s="236">
        <f t="shared" si="65"/>
        <v>0</v>
      </c>
      <c r="H137" s="236">
        <f t="shared" si="66"/>
        <v>0</v>
      </c>
      <c r="I137" s="211"/>
      <c r="J137" s="236"/>
      <c r="K137" s="236"/>
      <c r="L137" s="211"/>
      <c r="M137" s="236"/>
      <c r="N137" s="236">
        <f>N138</f>
        <v>14400</v>
      </c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7" t="s">
        <v>486</v>
      </c>
    </row>
    <row r="138" spans="1:28" s="238" customFormat="1" x14ac:dyDescent="0.25">
      <c r="A138" s="233"/>
      <c r="B138" s="233" t="s">
        <v>464</v>
      </c>
      <c r="C138" s="233"/>
      <c r="D138" s="234"/>
      <c r="E138" s="235"/>
      <c r="F138" s="236">
        <f t="shared" si="67"/>
        <v>14400</v>
      </c>
      <c r="G138" s="236">
        <f t="shared" si="65"/>
        <v>0</v>
      </c>
      <c r="H138" s="236">
        <f t="shared" si="66"/>
        <v>0</v>
      </c>
      <c r="I138" s="211"/>
      <c r="J138" s="236"/>
      <c r="K138" s="236"/>
      <c r="L138" s="211"/>
      <c r="M138" s="236"/>
      <c r="N138" s="236">
        <f>V83</f>
        <v>14400</v>
      </c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7"/>
    </row>
    <row r="139" spans="1:28" s="238" customFormat="1" x14ac:dyDescent="0.25">
      <c r="A139" s="233"/>
      <c r="B139" s="233" t="s">
        <v>465</v>
      </c>
      <c r="C139" s="233"/>
      <c r="D139" s="234"/>
      <c r="E139" s="235"/>
      <c r="F139" s="236">
        <f t="shared" si="67"/>
        <v>0</v>
      </c>
      <c r="G139" s="236">
        <f t="shared" si="65"/>
        <v>0</v>
      </c>
      <c r="H139" s="236">
        <f t="shared" si="66"/>
        <v>0</v>
      </c>
      <c r="I139" s="211"/>
      <c r="J139" s="236"/>
      <c r="K139" s="236"/>
      <c r="L139" s="211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7"/>
    </row>
    <row r="140" spans="1:28" s="238" customFormat="1" ht="63.75" x14ac:dyDescent="0.25">
      <c r="A140" s="233"/>
      <c r="B140" s="233" t="s">
        <v>487</v>
      </c>
      <c r="C140" s="234">
        <v>1590</v>
      </c>
      <c r="D140" s="234">
        <v>180</v>
      </c>
      <c r="E140" s="235"/>
      <c r="F140" s="236">
        <f t="shared" si="67"/>
        <v>310600</v>
      </c>
      <c r="G140" s="236">
        <f t="shared" si="65"/>
        <v>0</v>
      </c>
      <c r="H140" s="236">
        <f t="shared" si="66"/>
        <v>0</v>
      </c>
      <c r="I140" s="211"/>
      <c r="J140" s="236"/>
      <c r="K140" s="236"/>
      <c r="L140" s="211"/>
      <c r="M140" s="236"/>
      <c r="N140" s="236">
        <f>N141</f>
        <v>310600</v>
      </c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7" t="s">
        <v>488</v>
      </c>
    </row>
    <row r="141" spans="1:28" s="238" customFormat="1" x14ac:dyDescent="0.25">
      <c r="A141" s="233"/>
      <c r="B141" s="233" t="s">
        <v>464</v>
      </c>
      <c r="C141" s="233"/>
      <c r="D141" s="234"/>
      <c r="E141" s="235"/>
      <c r="F141" s="236">
        <f t="shared" si="67"/>
        <v>310600</v>
      </c>
      <c r="G141" s="236">
        <f t="shared" si="65"/>
        <v>0</v>
      </c>
      <c r="H141" s="236">
        <f t="shared" si="66"/>
        <v>0</v>
      </c>
      <c r="I141" s="211"/>
      <c r="J141" s="236"/>
      <c r="K141" s="236"/>
      <c r="L141" s="211"/>
      <c r="M141" s="236"/>
      <c r="N141" s="236">
        <f>W83</f>
        <v>310600</v>
      </c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7"/>
    </row>
    <row r="142" spans="1:28" s="238" customFormat="1" x14ac:dyDescent="0.25">
      <c r="A142" s="233"/>
      <c r="B142" s="233" t="s">
        <v>465</v>
      </c>
      <c r="C142" s="233"/>
      <c r="D142" s="234"/>
      <c r="E142" s="235"/>
      <c r="F142" s="236">
        <f t="shared" si="67"/>
        <v>0</v>
      </c>
      <c r="G142" s="236">
        <f t="shared" si="65"/>
        <v>0</v>
      </c>
      <c r="H142" s="236">
        <f t="shared" si="66"/>
        <v>0</v>
      </c>
      <c r="I142" s="211"/>
      <c r="J142" s="236"/>
      <c r="K142" s="236"/>
      <c r="L142" s="211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7"/>
    </row>
    <row r="143" spans="1:28" s="238" customFormat="1" ht="54" customHeight="1" x14ac:dyDescent="0.25">
      <c r="A143" s="233"/>
      <c r="B143" s="233" t="s">
        <v>489</v>
      </c>
      <c r="C143" s="234">
        <v>1600</v>
      </c>
      <c r="D143" s="234">
        <v>180</v>
      </c>
      <c r="E143" s="235"/>
      <c r="F143" s="236">
        <f t="shared" si="67"/>
        <v>3025460</v>
      </c>
      <c r="G143" s="236">
        <f t="shared" si="65"/>
        <v>0</v>
      </c>
      <c r="H143" s="236">
        <f t="shared" si="66"/>
        <v>0</v>
      </c>
      <c r="I143" s="211"/>
      <c r="J143" s="236"/>
      <c r="K143" s="236"/>
      <c r="L143" s="211"/>
      <c r="M143" s="236"/>
      <c r="N143" s="236">
        <f>N144</f>
        <v>3025460</v>
      </c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7"/>
    </row>
    <row r="144" spans="1:28" s="238" customFormat="1" x14ac:dyDescent="0.25">
      <c r="A144" s="233"/>
      <c r="B144" s="233" t="s">
        <v>464</v>
      </c>
      <c r="C144" s="233"/>
      <c r="D144" s="234"/>
      <c r="E144" s="235"/>
      <c r="F144" s="236">
        <f t="shared" si="67"/>
        <v>3025460</v>
      </c>
      <c r="G144" s="236">
        <f t="shared" si="65"/>
        <v>0</v>
      </c>
      <c r="H144" s="236">
        <f t="shared" si="66"/>
        <v>0</v>
      </c>
      <c r="I144" s="211"/>
      <c r="J144" s="236"/>
      <c r="K144" s="236"/>
      <c r="L144" s="211"/>
      <c r="M144" s="236"/>
      <c r="N144" s="236">
        <f>T83</f>
        <v>3025460</v>
      </c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7">
        <v>5210</v>
      </c>
    </row>
    <row r="145" spans="1:28" s="238" customFormat="1" x14ac:dyDescent="0.25">
      <c r="A145" s="233"/>
      <c r="B145" s="233" t="s">
        <v>465</v>
      </c>
      <c r="C145" s="233"/>
      <c r="D145" s="234"/>
      <c r="E145" s="235"/>
      <c r="F145" s="236">
        <f t="shared" si="67"/>
        <v>0</v>
      </c>
      <c r="G145" s="236">
        <f t="shared" si="65"/>
        <v>0</v>
      </c>
      <c r="H145" s="236">
        <f t="shared" si="66"/>
        <v>0</v>
      </c>
      <c r="I145" s="211"/>
      <c r="J145" s="236"/>
      <c r="K145" s="236"/>
      <c r="L145" s="211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7"/>
    </row>
    <row r="146" spans="1:28" s="238" customFormat="1" ht="63.75" x14ac:dyDescent="0.25">
      <c r="A146" s="233"/>
      <c r="B146" s="233" t="s">
        <v>490</v>
      </c>
      <c r="C146" s="234">
        <v>1610</v>
      </c>
      <c r="D146" s="234">
        <v>180</v>
      </c>
      <c r="E146" s="235"/>
      <c r="F146" s="236">
        <f t="shared" si="67"/>
        <v>0</v>
      </c>
      <c r="G146" s="236">
        <f t="shared" si="65"/>
        <v>0</v>
      </c>
      <c r="H146" s="236">
        <f t="shared" si="66"/>
        <v>0</v>
      </c>
      <c r="I146" s="211"/>
      <c r="J146" s="236"/>
      <c r="K146" s="236"/>
      <c r="L146" s="211"/>
      <c r="M146" s="236"/>
      <c r="N146" s="236">
        <f>N147</f>
        <v>0</v>
      </c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7">
        <v>2550</v>
      </c>
    </row>
    <row r="147" spans="1:28" s="238" customFormat="1" x14ac:dyDescent="0.25">
      <c r="A147" s="233"/>
      <c r="B147" s="233" t="s">
        <v>464</v>
      </c>
      <c r="C147" s="233"/>
      <c r="D147" s="234"/>
      <c r="E147" s="235"/>
      <c r="F147" s="236">
        <f t="shared" si="67"/>
        <v>0</v>
      </c>
      <c r="G147" s="236">
        <f t="shared" si="65"/>
        <v>0</v>
      </c>
      <c r="H147" s="236">
        <f t="shared" si="66"/>
        <v>0</v>
      </c>
      <c r="I147" s="211"/>
      <c r="J147" s="236"/>
      <c r="K147" s="236"/>
      <c r="L147" s="211"/>
      <c r="M147" s="236"/>
      <c r="N147" s="236">
        <v>0</v>
      </c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7"/>
    </row>
    <row r="148" spans="1:28" s="238" customFormat="1" x14ac:dyDescent="0.25">
      <c r="A148" s="233"/>
      <c r="B148" s="233" t="s">
        <v>465</v>
      </c>
      <c r="C148" s="233"/>
      <c r="D148" s="234"/>
      <c r="E148" s="235"/>
      <c r="F148" s="236">
        <f t="shared" si="67"/>
        <v>0</v>
      </c>
      <c r="G148" s="236">
        <f t="shared" si="65"/>
        <v>0</v>
      </c>
      <c r="H148" s="236">
        <f t="shared" si="66"/>
        <v>0</v>
      </c>
      <c r="I148" s="211"/>
      <c r="J148" s="236"/>
      <c r="K148" s="236"/>
      <c r="L148" s="211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7"/>
    </row>
    <row r="149" spans="1:28" s="238" customFormat="1" x14ac:dyDescent="0.25">
      <c r="A149" s="233"/>
      <c r="B149" s="233" t="s">
        <v>491</v>
      </c>
      <c r="C149" s="234">
        <v>1620</v>
      </c>
      <c r="D149" s="234">
        <v>180</v>
      </c>
      <c r="E149" s="235"/>
      <c r="F149" s="236">
        <f t="shared" si="67"/>
        <v>0</v>
      </c>
      <c r="G149" s="236">
        <f t="shared" si="65"/>
        <v>0</v>
      </c>
      <c r="H149" s="236">
        <f t="shared" si="66"/>
        <v>0</v>
      </c>
      <c r="I149" s="211"/>
      <c r="J149" s="236"/>
      <c r="K149" s="236"/>
      <c r="L149" s="211"/>
      <c r="M149" s="236"/>
      <c r="N149" s="236">
        <f>N150</f>
        <v>0</v>
      </c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7"/>
    </row>
    <row r="150" spans="1:28" s="238" customFormat="1" x14ac:dyDescent="0.25">
      <c r="A150" s="233"/>
      <c r="B150" s="233" t="s">
        <v>464</v>
      </c>
      <c r="C150" s="233"/>
      <c r="D150" s="234"/>
      <c r="E150" s="235"/>
      <c r="F150" s="236">
        <f t="shared" si="67"/>
        <v>0</v>
      </c>
      <c r="G150" s="236">
        <f t="shared" si="65"/>
        <v>0</v>
      </c>
      <c r="H150" s="236">
        <f t="shared" si="66"/>
        <v>0</v>
      </c>
      <c r="I150" s="211"/>
      <c r="J150" s="236"/>
      <c r="K150" s="236"/>
      <c r="L150" s="211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7"/>
    </row>
    <row r="151" spans="1:28" s="238" customFormat="1" x14ac:dyDescent="0.25">
      <c r="A151" s="233"/>
      <c r="B151" s="233" t="s">
        <v>465</v>
      </c>
      <c r="C151" s="233"/>
      <c r="D151" s="234"/>
      <c r="E151" s="235"/>
      <c r="F151" s="236">
        <f t="shared" si="67"/>
        <v>0</v>
      </c>
      <c r="G151" s="236">
        <f t="shared" si="65"/>
        <v>0</v>
      </c>
      <c r="H151" s="236">
        <f t="shared" si="66"/>
        <v>0</v>
      </c>
      <c r="I151" s="211"/>
      <c r="J151" s="236"/>
      <c r="K151" s="236"/>
      <c r="L151" s="211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7"/>
    </row>
    <row r="152" spans="1:28" s="238" customFormat="1" x14ac:dyDescent="0.25">
      <c r="A152" s="233"/>
      <c r="B152" s="233" t="s">
        <v>491</v>
      </c>
      <c r="C152" s="234">
        <v>1630</v>
      </c>
      <c r="D152" s="234">
        <v>180</v>
      </c>
      <c r="E152" s="235"/>
      <c r="F152" s="236">
        <f t="shared" si="67"/>
        <v>0</v>
      </c>
      <c r="G152" s="236">
        <f t="shared" si="65"/>
        <v>0</v>
      </c>
      <c r="H152" s="236">
        <f t="shared" si="66"/>
        <v>0</v>
      </c>
      <c r="I152" s="211"/>
      <c r="J152" s="236"/>
      <c r="K152" s="236"/>
      <c r="L152" s="211"/>
      <c r="M152" s="236"/>
      <c r="N152" s="236">
        <f>N153</f>
        <v>0</v>
      </c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7"/>
    </row>
    <row r="153" spans="1:28" s="238" customFormat="1" x14ac:dyDescent="0.25">
      <c r="A153" s="233"/>
      <c r="B153" s="233" t="s">
        <v>464</v>
      </c>
      <c r="C153" s="233"/>
      <c r="D153" s="234"/>
      <c r="E153" s="235"/>
      <c r="F153" s="236">
        <f t="shared" si="67"/>
        <v>0</v>
      </c>
      <c r="G153" s="236">
        <f t="shared" si="65"/>
        <v>0</v>
      </c>
      <c r="H153" s="236">
        <f t="shared" si="66"/>
        <v>0</v>
      </c>
      <c r="I153" s="211"/>
      <c r="J153" s="236"/>
      <c r="K153" s="236"/>
      <c r="L153" s="211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7"/>
    </row>
    <row r="154" spans="1:28" s="238" customFormat="1" x14ac:dyDescent="0.25">
      <c r="A154" s="233"/>
      <c r="B154" s="233" t="s">
        <v>465</v>
      </c>
      <c r="C154" s="233"/>
      <c r="D154" s="234"/>
      <c r="E154" s="235"/>
      <c r="F154" s="236">
        <f t="shared" si="67"/>
        <v>0</v>
      </c>
      <c r="G154" s="236">
        <f t="shared" si="65"/>
        <v>0</v>
      </c>
      <c r="H154" s="236">
        <f t="shared" si="66"/>
        <v>0</v>
      </c>
      <c r="I154" s="211"/>
      <c r="J154" s="236"/>
      <c r="K154" s="236"/>
      <c r="L154" s="211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7"/>
    </row>
    <row r="155" spans="1:28" s="238" customFormat="1" x14ac:dyDescent="0.25">
      <c r="A155" s="234" t="s">
        <v>492</v>
      </c>
      <c r="B155" s="233" t="s">
        <v>493</v>
      </c>
      <c r="C155" s="234">
        <v>1980</v>
      </c>
      <c r="D155" s="234" t="s">
        <v>494</v>
      </c>
      <c r="E155" s="235"/>
      <c r="F155" s="236">
        <f t="shared" si="67"/>
        <v>0</v>
      </c>
      <c r="G155" s="236">
        <f t="shared" si="65"/>
        <v>0</v>
      </c>
      <c r="H155" s="236">
        <f t="shared" si="66"/>
        <v>0</v>
      </c>
      <c r="I155" s="211"/>
      <c r="J155" s="236"/>
      <c r="K155" s="236"/>
      <c r="L155" s="211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7"/>
    </row>
    <row r="156" spans="1:28" s="238" customFormat="1" x14ac:dyDescent="0.25">
      <c r="A156" s="233"/>
      <c r="B156" s="233" t="s">
        <v>237</v>
      </c>
      <c r="C156" s="233"/>
      <c r="D156" s="234"/>
      <c r="E156" s="235"/>
      <c r="F156" s="236">
        <f t="shared" si="67"/>
        <v>0</v>
      </c>
      <c r="G156" s="236">
        <f t="shared" si="65"/>
        <v>0</v>
      </c>
      <c r="H156" s="236">
        <f t="shared" si="66"/>
        <v>0</v>
      </c>
      <c r="I156" s="211"/>
      <c r="J156" s="236"/>
      <c r="K156" s="236"/>
      <c r="L156" s="211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7"/>
    </row>
    <row r="157" spans="1:28" s="238" customFormat="1" ht="38.25" x14ac:dyDescent="0.25">
      <c r="A157" s="233"/>
      <c r="B157" s="233" t="s">
        <v>250</v>
      </c>
      <c r="C157" s="234">
        <v>1981</v>
      </c>
      <c r="D157" s="234">
        <v>510</v>
      </c>
      <c r="E157" s="235"/>
      <c r="F157" s="236"/>
      <c r="G157" s="236"/>
      <c r="H157" s="236"/>
      <c r="I157" s="211"/>
      <c r="J157" s="236"/>
      <c r="K157" s="236"/>
      <c r="L157" s="211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7"/>
    </row>
    <row r="158" spans="1:28" s="232" customFormat="1" x14ac:dyDescent="0.25">
      <c r="A158" s="226" t="s">
        <v>495</v>
      </c>
      <c r="B158" s="227" t="s">
        <v>496</v>
      </c>
      <c r="C158" s="226">
        <v>1</v>
      </c>
      <c r="D158" s="226"/>
      <c r="E158" s="228"/>
      <c r="F158" s="229">
        <f>G158+N158+O158+P158</f>
        <v>18908.78</v>
      </c>
      <c r="G158" s="229">
        <f>H158+K158</f>
        <v>0</v>
      </c>
      <c r="H158" s="229">
        <f>I158+L158</f>
        <v>0</v>
      </c>
      <c r="I158" s="230">
        <v>0</v>
      </c>
      <c r="J158" s="229"/>
      <c r="K158" s="229"/>
      <c r="L158" s="230"/>
      <c r="M158" s="229"/>
      <c r="N158" s="229">
        <v>1100</v>
      </c>
      <c r="O158" s="229">
        <v>17808.78</v>
      </c>
      <c r="P158" s="229">
        <v>0</v>
      </c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304"/>
    </row>
    <row r="159" spans="1:28" s="238" customFormat="1" x14ac:dyDescent="0.25">
      <c r="A159" s="234" t="s">
        <v>497</v>
      </c>
      <c r="B159" s="233" t="s">
        <v>498</v>
      </c>
      <c r="C159" s="234">
        <v>3000</v>
      </c>
      <c r="D159" s="234">
        <v>100</v>
      </c>
      <c r="E159" s="235"/>
      <c r="F159" s="236"/>
      <c r="G159" s="236"/>
      <c r="H159" s="236"/>
      <c r="I159" s="211"/>
      <c r="J159" s="236"/>
      <c r="K159" s="236"/>
      <c r="L159" s="211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7"/>
    </row>
    <row r="160" spans="1:28" s="238" customFormat="1" x14ac:dyDescent="0.25">
      <c r="A160" s="233"/>
      <c r="B160" s="233" t="s">
        <v>499</v>
      </c>
      <c r="C160" s="233"/>
      <c r="D160" s="234"/>
      <c r="E160" s="235"/>
      <c r="F160" s="236"/>
      <c r="G160" s="236"/>
      <c r="H160" s="236"/>
      <c r="I160" s="211"/>
      <c r="J160" s="236"/>
      <c r="K160" s="236"/>
      <c r="L160" s="211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7"/>
    </row>
    <row r="161" spans="1:28" s="238" customFormat="1" x14ac:dyDescent="0.25">
      <c r="A161" s="233"/>
      <c r="B161" s="233" t="s">
        <v>500</v>
      </c>
      <c r="C161" s="234">
        <v>3010</v>
      </c>
      <c r="D161" s="234"/>
      <c r="E161" s="235"/>
      <c r="F161" s="236"/>
      <c r="G161" s="236"/>
      <c r="H161" s="236"/>
      <c r="I161" s="211"/>
      <c r="J161" s="236"/>
      <c r="K161" s="236"/>
      <c r="L161" s="211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7"/>
    </row>
    <row r="162" spans="1:28" s="238" customFormat="1" x14ac:dyDescent="0.25">
      <c r="A162" s="233"/>
      <c r="B162" s="233" t="s">
        <v>501</v>
      </c>
      <c r="C162" s="234">
        <v>3020</v>
      </c>
      <c r="D162" s="234"/>
      <c r="E162" s="235"/>
      <c r="F162" s="236"/>
      <c r="G162" s="236"/>
      <c r="H162" s="236"/>
      <c r="I162" s="211"/>
      <c r="J162" s="236"/>
      <c r="K162" s="236"/>
      <c r="L162" s="211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7"/>
    </row>
    <row r="163" spans="1:28" s="238" customFormat="1" x14ac:dyDescent="0.25">
      <c r="A163" s="233"/>
      <c r="B163" s="233" t="s">
        <v>502</v>
      </c>
      <c r="C163" s="234">
        <v>3030</v>
      </c>
      <c r="D163" s="234"/>
      <c r="E163" s="235"/>
      <c r="F163" s="236"/>
      <c r="G163" s="236"/>
      <c r="H163" s="236"/>
      <c r="I163" s="211"/>
      <c r="J163" s="236"/>
      <c r="K163" s="236"/>
      <c r="L163" s="211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7"/>
    </row>
    <row r="164" spans="1:28" s="238" customFormat="1" x14ac:dyDescent="0.25">
      <c r="A164" s="233"/>
      <c r="B164" s="233"/>
      <c r="C164" s="233"/>
      <c r="D164" s="234"/>
      <c r="E164" s="235"/>
      <c r="F164" s="236"/>
      <c r="G164" s="236"/>
      <c r="H164" s="236"/>
      <c r="I164" s="211"/>
      <c r="J164" s="236"/>
      <c r="K164" s="236"/>
      <c r="L164" s="211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7"/>
    </row>
    <row r="165" spans="1:28" s="238" customFormat="1" x14ac:dyDescent="0.25">
      <c r="A165" s="234" t="s">
        <v>503</v>
      </c>
      <c r="B165" s="233" t="s">
        <v>504</v>
      </c>
      <c r="C165" s="234">
        <v>4000</v>
      </c>
      <c r="D165" s="234"/>
      <c r="E165" s="235"/>
      <c r="F165" s="236"/>
      <c r="G165" s="236"/>
      <c r="H165" s="236"/>
      <c r="I165" s="211"/>
      <c r="J165" s="236"/>
      <c r="K165" s="236"/>
      <c r="L165" s="211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7"/>
    </row>
    <row r="166" spans="1:28" s="238" customFormat="1" x14ac:dyDescent="0.25">
      <c r="A166" s="233"/>
      <c r="B166" s="233" t="s">
        <v>356</v>
      </c>
      <c r="C166" s="233"/>
      <c r="D166" s="234"/>
      <c r="E166" s="235"/>
      <c r="F166" s="236"/>
      <c r="G166" s="236"/>
      <c r="H166" s="236"/>
      <c r="I166" s="211"/>
      <c r="J166" s="236"/>
      <c r="K166" s="236"/>
      <c r="L166" s="211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7"/>
    </row>
    <row r="167" spans="1:28" s="238" customFormat="1" x14ac:dyDescent="0.25">
      <c r="A167" s="233"/>
      <c r="B167" s="233" t="s">
        <v>293</v>
      </c>
      <c r="C167" s="234">
        <v>4010</v>
      </c>
      <c r="D167" s="234">
        <v>610</v>
      </c>
      <c r="E167" s="235"/>
      <c r="F167" s="236"/>
      <c r="G167" s="236"/>
      <c r="H167" s="236"/>
      <c r="I167" s="211"/>
      <c r="J167" s="236"/>
      <c r="K167" s="236"/>
      <c r="L167" s="211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7"/>
    </row>
    <row r="168" spans="1:28" s="246" customFormat="1" x14ac:dyDescent="0.25">
      <c r="A168" s="241" t="s">
        <v>505</v>
      </c>
      <c r="B168" s="242" t="s">
        <v>506</v>
      </c>
      <c r="C168" s="241">
        <v>2</v>
      </c>
      <c r="D168" s="241"/>
      <c r="E168" s="243"/>
      <c r="F168" s="244">
        <f t="shared" ref="F168" si="68">G168+N168+O168+P168</f>
        <v>0</v>
      </c>
      <c r="G168" s="244">
        <f>H168+O168+P168+AB168</f>
        <v>0</v>
      </c>
      <c r="H168" s="244">
        <f t="shared" ref="H168" si="69">I168+L168</f>
        <v>0</v>
      </c>
      <c r="I168" s="211">
        <f t="shared" ref="I168" si="70">J168+K168</f>
        <v>0</v>
      </c>
      <c r="J168" s="244"/>
      <c r="K168" s="244"/>
      <c r="L168" s="211">
        <f t="shared" ref="L168" si="71">M168+N168</f>
        <v>0</v>
      </c>
      <c r="M168" s="244"/>
      <c r="N168" s="244"/>
      <c r="O168" s="244">
        <v>0</v>
      </c>
      <c r="P168" s="244">
        <v>0</v>
      </c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5"/>
    </row>
  </sheetData>
  <mergeCells count="18">
    <mergeCell ref="A1:P1"/>
    <mergeCell ref="A3:A6"/>
    <mergeCell ref="B3:B6"/>
    <mergeCell ref="C3:C6"/>
    <mergeCell ref="D3:D6"/>
    <mergeCell ref="E3:E6"/>
    <mergeCell ref="F3:P3"/>
    <mergeCell ref="F4:F6"/>
    <mergeCell ref="G4:P4"/>
    <mergeCell ref="G5:G6"/>
    <mergeCell ref="P5:P6"/>
    <mergeCell ref="Q5:AA5"/>
    <mergeCell ref="H5:H6"/>
    <mergeCell ref="I5:J5"/>
    <mergeCell ref="K5:K6"/>
    <mergeCell ref="L5:M5"/>
    <mergeCell ref="N5:N6"/>
    <mergeCell ref="O5:O6"/>
  </mergeCells>
  <hyperlinks>
    <hyperlink ref="B104" r:id="rId1" display="consultantplus://offline/ref=B8AE1035D0937AEEB77C3FBFF6CDC688C588254FBD6896A3CFC51150518F457BB7E7D169A15B06272B44A970D18E71FFFF2514E073F56077REEAN"/>
  </hyperlinks>
  <pageMargins left="0" right="0" top="0.74803149606299213" bottom="0" header="0.31496062992125984" footer="0.31496062992125984"/>
  <pageSetup paperSize="9" scale="71" fitToHeight="0" orientation="landscape" verticalDpi="0" r:id="rId2"/>
  <rowBreaks count="3" manualBreakCount="3">
    <brk id="46" max="15" man="1"/>
    <brk id="94" max="15" man="1"/>
    <brk id="130" max="15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F126"/>
  <sheetViews>
    <sheetView view="pageBreakPreview" topLeftCell="A88" zoomScaleNormal="100" zoomScaleSheetLayoutView="100" workbookViewId="0">
      <selection activeCell="BW26" sqref="BW26:CL26"/>
    </sheetView>
  </sheetViews>
  <sheetFormatPr defaultColWidth="0.85546875" defaultRowHeight="12" customHeight="1" x14ac:dyDescent="0.25"/>
  <cols>
    <col min="1" max="107" width="0.85546875" style="247"/>
    <col min="108" max="108" width="3.5703125" style="247" bestFit="1" customWidth="1"/>
    <col min="109" max="109" width="12.28515625" style="180" customWidth="1"/>
    <col min="110" max="110" width="25.85546875" style="247" customWidth="1"/>
    <col min="111" max="115" width="0.85546875" style="247"/>
    <col min="116" max="116" width="1.85546875" style="247" bestFit="1" customWidth="1"/>
    <col min="117" max="363" width="0.85546875" style="247"/>
    <col min="364" max="364" width="3.5703125" style="247" bestFit="1" customWidth="1"/>
    <col min="365" max="365" width="12.28515625" style="247" customWidth="1"/>
    <col min="366" max="366" width="25.85546875" style="247" customWidth="1"/>
    <col min="367" max="371" width="0.85546875" style="247"/>
    <col min="372" max="372" width="1.85546875" style="247" bestFit="1" customWidth="1"/>
    <col min="373" max="619" width="0.85546875" style="247"/>
    <col min="620" max="620" width="3.5703125" style="247" bestFit="1" customWidth="1"/>
    <col min="621" max="621" width="12.28515625" style="247" customWidth="1"/>
    <col min="622" max="622" width="25.85546875" style="247" customWidth="1"/>
    <col min="623" max="627" width="0.85546875" style="247"/>
    <col min="628" max="628" width="1.85546875" style="247" bestFit="1" customWidth="1"/>
    <col min="629" max="875" width="0.85546875" style="247"/>
    <col min="876" max="876" width="3.5703125" style="247" bestFit="1" customWidth="1"/>
    <col min="877" max="877" width="12.28515625" style="247" customWidth="1"/>
    <col min="878" max="878" width="25.85546875" style="247" customWidth="1"/>
    <col min="879" max="883" width="0.85546875" style="247"/>
    <col min="884" max="884" width="1.85546875" style="247" bestFit="1" customWidth="1"/>
    <col min="885" max="1131" width="0.85546875" style="247"/>
    <col min="1132" max="1132" width="3.5703125" style="247" bestFit="1" customWidth="1"/>
    <col min="1133" max="1133" width="12.28515625" style="247" customWidth="1"/>
    <col min="1134" max="1134" width="25.85546875" style="247" customWidth="1"/>
    <col min="1135" max="1139" width="0.85546875" style="247"/>
    <col min="1140" max="1140" width="1.85546875" style="247" bestFit="1" customWidth="1"/>
    <col min="1141" max="1387" width="0.85546875" style="247"/>
    <col min="1388" max="1388" width="3.5703125" style="247" bestFit="1" customWidth="1"/>
    <col min="1389" max="1389" width="12.28515625" style="247" customWidth="1"/>
    <col min="1390" max="1390" width="25.85546875" style="247" customWidth="1"/>
    <col min="1391" max="1395" width="0.85546875" style="247"/>
    <col min="1396" max="1396" width="1.85546875" style="247" bestFit="1" customWidth="1"/>
    <col min="1397" max="1643" width="0.85546875" style="247"/>
    <col min="1644" max="1644" width="3.5703125" style="247" bestFit="1" customWidth="1"/>
    <col min="1645" max="1645" width="12.28515625" style="247" customWidth="1"/>
    <col min="1646" max="1646" width="25.85546875" style="247" customWidth="1"/>
    <col min="1647" max="1651" width="0.85546875" style="247"/>
    <col min="1652" max="1652" width="1.85546875" style="247" bestFit="1" customWidth="1"/>
    <col min="1653" max="1899" width="0.85546875" style="247"/>
    <col min="1900" max="1900" width="3.5703125" style="247" bestFit="1" customWidth="1"/>
    <col min="1901" max="1901" width="12.28515625" style="247" customWidth="1"/>
    <col min="1902" max="1902" width="25.85546875" style="247" customWidth="1"/>
    <col min="1903" max="1907" width="0.85546875" style="247"/>
    <col min="1908" max="1908" width="1.85546875" style="247" bestFit="1" customWidth="1"/>
    <col min="1909" max="2155" width="0.85546875" style="247"/>
    <col min="2156" max="2156" width="3.5703125" style="247" bestFit="1" customWidth="1"/>
    <col min="2157" max="2157" width="12.28515625" style="247" customWidth="1"/>
    <col min="2158" max="2158" width="25.85546875" style="247" customWidth="1"/>
    <col min="2159" max="2163" width="0.85546875" style="247"/>
    <col min="2164" max="2164" width="1.85546875" style="247" bestFit="1" customWidth="1"/>
    <col min="2165" max="2411" width="0.85546875" style="247"/>
    <col min="2412" max="2412" width="3.5703125" style="247" bestFit="1" customWidth="1"/>
    <col min="2413" max="2413" width="12.28515625" style="247" customWidth="1"/>
    <col min="2414" max="2414" width="25.85546875" style="247" customWidth="1"/>
    <col min="2415" max="2419" width="0.85546875" style="247"/>
    <col min="2420" max="2420" width="1.85546875" style="247" bestFit="1" customWidth="1"/>
    <col min="2421" max="2667" width="0.85546875" style="247"/>
    <col min="2668" max="2668" width="3.5703125" style="247" bestFit="1" customWidth="1"/>
    <col min="2669" max="2669" width="12.28515625" style="247" customWidth="1"/>
    <col min="2670" max="2670" width="25.85546875" style="247" customWidth="1"/>
    <col min="2671" max="2675" width="0.85546875" style="247"/>
    <col min="2676" max="2676" width="1.85546875" style="247" bestFit="1" customWidth="1"/>
    <col min="2677" max="2923" width="0.85546875" style="247"/>
    <col min="2924" max="2924" width="3.5703125" style="247" bestFit="1" customWidth="1"/>
    <col min="2925" max="2925" width="12.28515625" style="247" customWidth="1"/>
    <col min="2926" max="2926" width="25.85546875" style="247" customWidth="1"/>
    <col min="2927" max="2931" width="0.85546875" style="247"/>
    <col min="2932" max="2932" width="1.85546875" style="247" bestFit="1" customWidth="1"/>
    <col min="2933" max="3179" width="0.85546875" style="247"/>
    <col min="3180" max="3180" width="3.5703125" style="247" bestFit="1" customWidth="1"/>
    <col min="3181" max="3181" width="12.28515625" style="247" customWidth="1"/>
    <col min="3182" max="3182" width="25.85546875" style="247" customWidth="1"/>
    <col min="3183" max="3187" width="0.85546875" style="247"/>
    <col min="3188" max="3188" width="1.85546875" style="247" bestFit="1" customWidth="1"/>
    <col min="3189" max="3435" width="0.85546875" style="247"/>
    <col min="3436" max="3436" width="3.5703125" style="247" bestFit="1" customWidth="1"/>
    <col min="3437" max="3437" width="12.28515625" style="247" customWidth="1"/>
    <col min="3438" max="3438" width="25.85546875" style="247" customWidth="1"/>
    <col min="3439" max="3443" width="0.85546875" style="247"/>
    <col min="3444" max="3444" width="1.85546875" style="247" bestFit="1" customWidth="1"/>
    <col min="3445" max="3691" width="0.85546875" style="247"/>
    <col min="3692" max="3692" width="3.5703125" style="247" bestFit="1" customWidth="1"/>
    <col min="3693" max="3693" width="12.28515625" style="247" customWidth="1"/>
    <col min="3694" max="3694" width="25.85546875" style="247" customWidth="1"/>
    <col min="3695" max="3699" width="0.85546875" style="247"/>
    <col min="3700" max="3700" width="1.85546875" style="247" bestFit="1" customWidth="1"/>
    <col min="3701" max="3947" width="0.85546875" style="247"/>
    <col min="3948" max="3948" width="3.5703125" style="247" bestFit="1" customWidth="1"/>
    <col min="3949" max="3949" width="12.28515625" style="247" customWidth="1"/>
    <col min="3950" max="3950" width="25.85546875" style="247" customWidth="1"/>
    <col min="3951" max="3955" width="0.85546875" style="247"/>
    <col min="3956" max="3956" width="1.85546875" style="247" bestFit="1" customWidth="1"/>
    <col min="3957" max="4203" width="0.85546875" style="247"/>
    <col min="4204" max="4204" width="3.5703125" style="247" bestFit="1" customWidth="1"/>
    <col min="4205" max="4205" width="12.28515625" style="247" customWidth="1"/>
    <col min="4206" max="4206" width="25.85546875" style="247" customWidth="1"/>
    <col min="4207" max="4211" width="0.85546875" style="247"/>
    <col min="4212" max="4212" width="1.85546875" style="247" bestFit="1" customWidth="1"/>
    <col min="4213" max="4459" width="0.85546875" style="247"/>
    <col min="4460" max="4460" width="3.5703125" style="247" bestFit="1" customWidth="1"/>
    <col min="4461" max="4461" width="12.28515625" style="247" customWidth="1"/>
    <col min="4462" max="4462" width="25.85546875" style="247" customWidth="1"/>
    <col min="4463" max="4467" width="0.85546875" style="247"/>
    <col min="4468" max="4468" width="1.85546875" style="247" bestFit="1" customWidth="1"/>
    <col min="4469" max="4715" width="0.85546875" style="247"/>
    <col min="4716" max="4716" width="3.5703125" style="247" bestFit="1" customWidth="1"/>
    <col min="4717" max="4717" width="12.28515625" style="247" customWidth="1"/>
    <col min="4718" max="4718" width="25.85546875" style="247" customWidth="1"/>
    <col min="4719" max="4723" width="0.85546875" style="247"/>
    <col min="4724" max="4724" width="1.85546875" style="247" bestFit="1" customWidth="1"/>
    <col min="4725" max="4971" width="0.85546875" style="247"/>
    <col min="4972" max="4972" width="3.5703125" style="247" bestFit="1" customWidth="1"/>
    <col min="4973" max="4973" width="12.28515625" style="247" customWidth="1"/>
    <col min="4974" max="4974" width="25.85546875" style="247" customWidth="1"/>
    <col min="4975" max="4979" width="0.85546875" style="247"/>
    <col min="4980" max="4980" width="1.85546875" style="247" bestFit="1" customWidth="1"/>
    <col min="4981" max="5227" width="0.85546875" style="247"/>
    <col min="5228" max="5228" width="3.5703125" style="247" bestFit="1" customWidth="1"/>
    <col min="5229" max="5229" width="12.28515625" style="247" customWidth="1"/>
    <col min="5230" max="5230" width="25.85546875" style="247" customWidth="1"/>
    <col min="5231" max="5235" width="0.85546875" style="247"/>
    <col min="5236" max="5236" width="1.85546875" style="247" bestFit="1" customWidth="1"/>
    <col min="5237" max="5483" width="0.85546875" style="247"/>
    <col min="5484" max="5484" width="3.5703125" style="247" bestFit="1" customWidth="1"/>
    <col min="5485" max="5485" width="12.28515625" style="247" customWidth="1"/>
    <col min="5486" max="5486" width="25.85546875" style="247" customWidth="1"/>
    <col min="5487" max="5491" width="0.85546875" style="247"/>
    <col min="5492" max="5492" width="1.85546875" style="247" bestFit="1" customWidth="1"/>
    <col min="5493" max="5739" width="0.85546875" style="247"/>
    <col min="5740" max="5740" width="3.5703125" style="247" bestFit="1" customWidth="1"/>
    <col min="5741" max="5741" width="12.28515625" style="247" customWidth="1"/>
    <col min="5742" max="5742" width="25.85546875" style="247" customWidth="1"/>
    <col min="5743" max="5747" width="0.85546875" style="247"/>
    <col min="5748" max="5748" width="1.85546875" style="247" bestFit="1" customWidth="1"/>
    <col min="5749" max="5995" width="0.85546875" style="247"/>
    <col min="5996" max="5996" width="3.5703125" style="247" bestFit="1" customWidth="1"/>
    <col min="5997" max="5997" width="12.28515625" style="247" customWidth="1"/>
    <col min="5998" max="5998" width="25.85546875" style="247" customWidth="1"/>
    <col min="5999" max="6003" width="0.85546875" style="247"/>
    <col min="6004" max="6004" width="1.85546875" style="247" bestFit="1" customWidth="1"/>
    <col min="6005" max="6251" width="0.85546875" style="247"/>
    <col min="6252" max="6252" width="3.5703125" style="247" bestFit="1" customWidth="1"/>
    <col min="6253" max="6253" width="12.28515625" style="247" customWidth="1"/>
    <col min="6254" max="6254" width="25.85546875" style="247" customWidth="1"/>
    <col min="6255" max="6259" width="0.85546875" style="247"/>
    <col min="6260" max="6260" width="1.85546875" style="247" bestFit="1" customWidth="1"/>
    <col min="6261" max="6507" width="0.85546875" style="247"/>
    <col min="6508" max="6508" width="3.5703125" style="247" bestFit="1" customWidth="1"/>
    <col min="6509" max="6509" width="12.28515625" style="247" customWidth="1"/>
    <col min="6510" max="6510" width="25.85546875" style="247" customWidth="1"/>
    <col min="6511" max="6515" width="0.85546875" style="247"/>
    <col min="6516" max="6516" width="1.85546875" style="247" bestFit="1" customWidth="1"/>
    <col min="6517" max="6763" width="0.85546875" style="247"/>
    <col min="6764" max="6764" width="3.5703125" style="247" bestFit="1" customWidth="1"/>
    <col min="6765" max="6765" width="12.28515625" style="247" customWidth="1"/>
    <col min="6766" max="6766" width="25.85546875" style="247" customWidth="1"/>
    <col min="6767" max="6771" width="0.85546875" style="247"/>
    <col min="6772" max="6772" width="1.85546875" style="247" bestFit="1" customWidth="1"/>
    <col min="6773" max="7019" width="0.85546875" style="247"/>
    <col min="7020" max="7020" width="3.5703125" style="247" bestFit="1" customWidth="1"/>
    <col min="7021" max="7021" width="12.28515625" style="247" customWidth="1"/>
    <col min="7022" max="7022" width="25.85546875" style="247" customWidth="1"/>
    <col min="7023" max="7027" width="0.85546875" style="247"/>
    <col min="7028" max="7028" width="1.85546875" style="247" bestFit="1" customWidth="1"/>
    <col min="7029" max="7275" width="0.85546875" style="247"/>
    <col min="7276" max="7276" width="3.5703125" style="247" bestFit="1" customWidth="1"/>
    <col min="7277" max="7277" width="12.28515625" style="247" customWidth="1"/>
    <col min="7278" max="7278" width="25.85546875" style="247" customWidth="1"/>
    <col min="7279" max="7283" width="0.85546875" style="247"/>
    <col min="7284" max="7284" width="1.85546875" style="247" bestFit="1" customWidth="1"/>
    <col min="7285" max="7531" width="0.85546875" style="247"/>
    <col min="7532" max="7532" width="3.5703125" style="247" bestFit="1" customWidth="1"/>
    <col min="7533" max="7533" width="12.28515625" style="247" customWidth="1"/>
    <col min="7534" max="7534" width="25.85546875" style="247" customWidth="1"/>
    <col min="7535" max="7539" width="0.85546875" style="247"/>
    <col min="7540" max="7540" width="1.85546875" style="247" bestFit="1" customWidth="1"/>
    <col min="7541" max="7787" width="0.85546875" style="247"/>
    <col min="7788" max="7788" width="3.5703125" style="247" bestFit="1" customWidth="1"/>
    <col min="7789" max="7789" width="12.28515625" style="247" customWidth="1"/>
    <col min="7790" max="7790" width="25.85546875" style="247" customWidth="1"/>
    <col min="7791" max="7795" width="0.85546875" style="247"/>
    <col min="7796" max="7796" width="1.85546875" style="247" bestFit="1" customWidth="1"/>
    <col min="7797" max="8043" width="0.85546875" style="247"/>
    <col min="8044" max="8044" width="3.5703125" style="247" bestFit="1" customWidth="1"/>
    <col min="8045" max="8045" width="12.28515625" style="247" customWidth="1"/>
    <col min="8046" max="8046" width="25.85546875" style="247" customWidth="1"/>
    <col min="8047" max="8051" width="0.85546875" style="247"/>
    <col min="8052" max="8052" width="1.85546875" style="247" bestFit="1" customWidth="1"/>
    <col min="8053" max="8299" width="0.85546875" style="247"/>
    <col min="8300" max="8300" width="3.5703125" style="247" bestFit="1" customWidth="1"/>
    <col min="8301" max="8301" width="12.28515625" style="247" customWidth="1"/>
    <col min="8302" max="8302" width="25.85546875" style="247" customWidth="1"/>
    <col min="8303" max="8307" width="0.85546875" style="247"/>
    <col min="8308" max="8308" width="1.85546875" style="247" bestFit="1" customWidth="1"/>
    <col min="8309" max="8555" width="0.85546875" style="247"/>
    <col min="8556" max="8556" width="3.5703125" style="247" bestFit="1" customWidth="1"/>
    <col min="8557" max="8557" width="12.28515625" style="247" customWidth="1"/>
    <col min="8558" max="8558" width="25.85546875" style="247" customWidth="1"/>
    <col min="8559" max="8563" width="0.85546875" style="247"/>
    <col min="8564" max="8564" width="1.85546875" style="247" bestFit="1" customWidth="1"/>
    <col min="8565" max="8811" width="0.85546875" style="247"/>
    <col min="8812" max="8812" width="3.5703125" style="247" bestFit="1" customWidth="1"/>
    <col min="8813" max="8813" width="12.28515625" style="247" customWidth="1"/>
    <col min="8814" max="8814" width="25.85546875" style="247" customWidth="1"/>
    <col min="8815" max="8819" width="0.85546875" style="247"/>
    <col min="8820" max="8820" width="1.85546875" style="247" bestFit="1" customWidth="1"/>
    <col min="8821" max="9067" width="0.85546875" style="247"/>
    <col min="9068" max="9068" width="3.5703125" style="247" bestFit="1" customWidth="1"/>
    <col min="9069" max="9069" width="12.28515625" style="247" customWidth="1"/>
    <col min="9070" max="9070" width="25.85546875" style="247" customWidth="1"/>
    <col min="9071" max="9075" width="0.85546875" style="247"/>
    <col min="9076" max="9076" width="1.85546875" style="247" bestFit="1" customWidth="1"/>
    <col min="9077" max="9323" width="0.85546875" style="247"/>
    <col min="9324" max="9324" width="3.5703125" style="247" bestFit="1" customWidth="1"/>
    <col min="9325" max="9325" width="12.28515625" style="247" customWidth="1"/>
    <col min="9326" max="9326" width="25.85546875" style="247" customWidth="1"/>
    <col min="9327" max="9331" width="0.85546875" style="247"/>
    <col min="9332" max="9332" width="1.85546875" style="247" bestFit="1" customWidth="1"/>
    <col min="9333" max="9579" width="0.85546875" style="247"/>
    <col min="9580" max="9580" width="3.5703125" style="247" bestFit="1" customWidth="1"/>
    <col min="9581" max="9581" width="12.28515625" style="247" customWidth="1"/>
    <col min="9582" max="9582" width="25.85546875" style="247" customWidth="1"/>
    <col min="9583" max="9587" width="0.85546875" style="247"/>
    <col min="9588" max="9588" width="1.85546875" style="247" bestFit="1" customWidth="1"/>
    <col min="9589" max="9835" width="0.85546875" style="247"/>
    <col min="9836" max="9836" width="3.5703125" style="247" bestFit="1" customWidth="1"/>
    <col min="9837" max="9837" width="12.28515625" style="247" customWidth="1"/>
    <col min="9838" max="9838" width="25.85546875" style="247" customWidth="1"/>
    <col min="9839" max="9843" width="0.85546875" style="247"/>
    <col min="9844" max="9844" width="1.85546875" style="247" bestFit="1" customWidth="1"/>
    <col min="9845" max="10091" width="0.85546875" style="247"/>
    <col min="10092" max="10092" width="3.5703125" style="247" bestFit="1" customWidth="1"/>
    <col min="10093" max="10093" width="12.28515625" style="247" customWidth="1"/>
    <col min="10094" max="10094" width="25.85546875" style="247" customWidth="1"/>
    <col min="10095" max="10099" width="0.85546875" style="247"/>
    <col min="10100" max="10100" width="1.85546875" style="247" bestFit="1" customWidth="1"/>
    <col min="10101" max="10347" width="0.85546875" style="247"/>
    <col min="10348" max="10348" width="3.5703125" style="247" bestFit="1" customWidth="1"/>
    <col min="10349" max="10349" width="12.28515625" style="247" customWidth="1"/>
    <col min="10350" max="10350" width="25.85546875" style="247" customWidth="1"/>
    <col min="10351" max="10355" width="0.85546875" style="247"/>
    <col min="10356" max="10356" width="1.85546875" style="247" bestFit="1" customWidth="1"/>
    <col min="10357" max="10603" width="0.85546875" style="247"/>
    <col min="10604" max="10604" width="3.5703125" style="247" bestFit="1" customWidth="1"/>
    <col min="10605" max="10605" width="12.28515625" style="247" customWidth="1"/>
    <col min="10606" max="10606" width="25.85546875" style="247" customWidth="1"/>
    <col min="10607" max="10611" width="0.85546875" style="247"/>
    <col min="10612" max="10612" width="1.85546875" style="247" bestFit="1" customWidth="1"/>
    <col min="10613" max="10859" width="0.85546875" style="247"/>
    <col min="10860" max="10860" width="3.5703125" style="247" bestFit="1" customWidth="1"/>
    <col min="10861" max="10861" width="12.28515625" style="247" customWidth="1"/>
    <col min="10862" max="10862" width="25.85546875" style="247" customWidth="1"/>
    <col min="10863" max="10867" width="0.85546875" style="247"/>
    <col min="10868" max="10868" width="1.85546875" style="247" bestFit="1" customWidth="1"/>
    <col min="10869" max="11115" width="0.85546875" style="247"/>
    <col min="11116" max="11116" width="3.5703125" style="247" bestFit="1" customWidth="1"/>
    <col min="11117" max="11117" width="12.28515625" style="247" customWidth="1"/>
    <col min="11118" max="11118" width="25.85546875" style="247" customWidth="1"/>
    <col min="11119" max="11123" width="0.85546875" style="247"/>
    <col min="11124" max="11124" width="1.85546875" style="247" bestFit="1" customWidth="1"/>
    <col min="11125" max="11371" width="0.85546875" style="247"/>
    <col min="11372" max="11372" width="3.5703125" style="247" bestFit="1" customWidth="1"/>
    <col min="11373" max="11373" width="12.28515625" style="247" customWidth="1"/>
    <col min="11374" max="11374" width="25.85546875" style="247" customWidth="1"/>
    <col min="11375" max="11379" width="0.85546875" style="247"/>
    <col min="11380" max="11380" width="1.85546875" style="247" bestFit="1" customWidth="1"/>
    <col min="11381" max="11627" width="0.85546875" style="247"/>
    <col min="11628" max="11628" width="3.5703125" style="247" bestFit="1" customWidth="1"/>
    <col min="11629" max="11629" width="12.28515625" style="247" customWidth="1"/>
    <col min="11630" max="11630" width="25.85546875" style="247" customWidth="1"/>
    <col min="11631" max="11635" width="0.85546875" style="247"/>
    <col min="11636" max="11636" width="1.85546875" style="247" bestFit="1" customWidth="1"/>
    <col min="11637" max="11883" width="0.85546875" style="247"/>
    <col min="11884" max="11884" width="3.5703125" style="247" bestFit="1" customWidth="1"/>
    <col min="11885" max="11885" width="12.28515625" style="247" customWidth="1"/>
    <col min="11886" max="11886" width="25.85546875" style="247" customWidth="1"/>
    <col min="11887" max="11891" width="0.85546875" style="247"/>
    <col min="11892" max="11892" width="1.85546875" style="247" bestFit="1" customWidth="1"/>
    <col min="11893" max="12139" width="0.85546875" style="247"/>
    <col min="12140" max="12140" width="3.5703125" style="247" bestFit="1" customWidth="1"/>
    <col min="12141" max="12141" width="12.28515625" style="247" customWidth="1"/>
    <col min="12142" max="12142" width="25.85546875" style="247" customWidth="1"/>
    <col min="12143" max="12147" width="0.85546875" style="247"/>
    <col min="12148" max="12148" width="1.85546875" style="247" bestFit="1" customWidth="1"/>
    <col min="12149" max="12395" width="0.85546875" style="247"/>
    <col min="12396" max="12396" width="3.5703125" style="247" bestFit="1" customWidth="1"/>
    <col min="12397" max="12397" width="12.28515625" style="247" customWidth="1"/>
    <col min="12398" max="12398" width="25.85546875" style="247" customWidth="1"/>
    <col min="12399" max="12403" width="0.85546875" style="247"/>
    <col min="12404" max="12404" width="1.85546875" style="247" bestFit="1" customWidth="1"/>
    <col min="12405" max="12651" width="0.85546875" style="247"/>
    <col min="12652" max="12652" width="3.5703125" style="247" bestFit="1" customWidth="1"/>
    <col min="12653" max="12653" width="12.28515625" style="247" customWidth="1"/>
    <col min="12654" max="12654" width="25.85546875" style="247" customWidth="1"/>
    <col min="12655" max="12659" width="0.85546875" style="247"/>
    <col min="12660" max="12660" width="1.85546875" style="247" bestFit="1" customWidth="1"/>
    <col min="12661" max="12907" width="0.85546875" style="247"/>
    <col min="12908" max="12908" width="3.5703125" style="247" bestFit="1" customWidth="1"/>
    <col min="12909" max="12909" width="12.28515625" style="247" customWidth="1"/>
    <col min="12910" max="12910" width="25.85546875" style="247" customWidth="1"/>
    <col min="12911" max="12915" width="0.85546875" style="247"/>
    <col min="12916" max="12916" width="1.85546875" style="247" bestFit="1" customWidth="1"/>
    <col min="12917" max="13163" width="0.85546875" style="247"/>
    <col min="13164" max="13164" width="3.5703125" style="247" bestFit="1" customWidth="1"/>
    <col min="13165" max="13165" width="12.28515625" style="247" customWidth="1"/>
    <col min="13166" max="13166" width="25.85546875" style="247" customWidth="1"/>
    <col min="13167" max="13171" width="0.85546875" style="247"/>
    <col min="13172" max="13172" width="1.85546875" style="247" bestFit="1" customWidth="1"/>
    <col min="13173" max="13419" width="0.85546875" style="247"/>
    <col min="13420" max="13420" width="3.5703125" style="247" bestFit="1" customWidth="1"/>
    <col min="13421" max="13421" width="12.28515625" style="247" customWidth="1"/>
    <col min="13422" max="13422" width="25.85546875" style="247" customWidth="1"/>
    <col min="13423" max="13427" width="0.85546875" style="247"/>
    <col min="13428" max="13428" width="1.85546875" style="247" bestFit="1" customWidth="1"/>
    <col min="13429" max="13675" width="0.85546875" style="247"/>
    <col min="13676" max="13676" width="3.5703125" style="247" bestFit="1" customWidth="1"/>
    <col min="13677" max="13677" width="12.28515625" style="247" customWidth="1"/>
    <col min="13678" max="13678" width="25.85546875" style="247" customWidth="1"/>
    <col min="13679" max="13683" width="0.85546875" style="247"/>
    <col min="13684" max="13684" width="1.85546875" style="247" bestFit="1" customWidth="1"/>
    <col min="13685" max="13931" width="0.85546875" style="247"/>
    <col min="13932" max="13932" width="3.5703125" style="247" bestFit="1" customWidth="1"/>
    <col min="13933" max="13933" width="12.28515625" style="247" customWidth="1"/>
    <col min="13934" max="13934" width="25.85546875" style="247" customWidth="1"/>
    <col min="13935" max="13939" width="0.85546875" style="247"/>
    <col min="13940" max="13940" width="1.85546875" style="247" bestFit="1" customWidth="1"/>
    <col min="13941" max="14187" width="0.85546875" style="247"/>
    <col min="14188" max="14188" width="3.5703125" style="247" bestFit="1" customWidth="1"/>
    <col min="14189" max="14189" width="12.28515625" style="247" customWidth="1"/>
    <col min="14190" max="14190" width="25.85546875" style="247" customWidth="1"/>
    <col min="14191" max="14195" width="0.85546875" style="247"/>
    <col min="14196" max="14196" width="1.85546875" style="247" bestFit="1" customWidth="1"/>
    <col min="14197" max="14443" width="0.85546875" style="247"/>
    <col min="14444" max="14444" width="3.5703125" style="247" bestFit="1" customWidth="1"/>
    <col min="14445" max="14445" width="12.28515625" style="247" customWidth="1"/>
    <col min="14446" max="14446" width="25.85546875" style="247" customWidth="1"/>
    <col min="14447" max="14451" width="0.85546875" style="247"/>
    <col min="14452" max="14452" width="1.85546875" style="247" bestFit="1" customWidth="1"/>
    <col min="14453" max="14699" width="0.85546875" style="247"/>
    <col min="14700" max="14700" width="3.5703125" style="247" bestFit="1" customWidth="1"/>
    <col min="14701" max="14701" width="12.28515625" style="247" customWidth="1"/>
    <col min="14702" max="14702" width="25.85546875" style="247" customWidth="1"/>
    <col min="14703" max="14707" width="0.85546875" style="247"/>
    <col min="14708" max="14708" width="1.85546875" style="247" bestFit="1" customWidth="1"/>
    <col min="14709" max="14955" width="0.85546875" style="247"/>
    <col min="14956" max="14956" width="3.5703125" style="247" bestFit="1" customWidth="1"/>
    <col min="14957" max="14957" width="12.28515625" style="247" customWidth="1"/>
    <col min="14958" max="14958" width="25.85546875" style="247" customWidth="1"/>
    <col min="14959" max="14963" width="0.85546875" style="247"/>
    <col min="14964" max="14964" width="1.85546875" style="247" bestFit="1" customWidth="1"/>
    <col min="14965" max="15211" width="0.85546875" style="247"/>
    <col min="15212" max="15212" width="3.5703125" style="247" bestFit="1" customWidth="1"/>
    <col min="15213" max="15213" width="12.28515625" style="247" customWidth="1"/>
    <col min="15214" max="15214" width="25.85546875" style="247" customWidth="1"/>
    <col min="15215" max="15219" width="0.85546875" style="247"/>
    <col min="15220" max="15220" width="1.85546875" style="247" bestFit="1" customWidth="1"/>
    <col min="15221" max="15467" width="0.85546875" style="247"/>
    <col min="15468" max="15468" width="3.5703125" style="247" bestFit="1" customWidth="1"/>
    <col min="15469" max="15469" width="12.28515625" style="247" customWidth="1"/>
    <col min="15470" max="15470" width="25.85546875" style="247" customWidth="1"/>
    <col min="15471" max="15475" width="0.85546875" style="247"/>
    <col min="15476" max="15476" width="1.85546875" style="247" bestFit="1" customWidth="1"/>
    <col min="15477" max="15723" width="0.85546875" style="247"/>
    <col min="15724" max="15724" width="3.5703125" style="247" bestFit="1" customWidth="1"/>
    <col min="15725" max="15725" width="12.28515625" style="247" customWidth="1"/>
    <col min="15726" max="15726" width="25.85546875" style="247" customWidth="1"/>
    <col min="15727" max="15731" width="0.85546875" style="247"/>
    <col min="15732" max="15732" width="1.85546875" style="247" bestFit="1" customWidth="1"/>
    <col min="15733" max="15979" width="0.85546875" style="247"/>
    <col min="15980" max="15980" width="3.5703125" style="247" bestFit="1" customWidth="1"/>
    <col min="15981" max="15981" width="12.28515625" style="247" customWidth="1"/>
    <col min="15982" max="15982" width="25.85546875" style="247" customWidth="1"/>
    <col min="15983" max="15987" width="0.85546875" style="247"/>
    <col min="15988" max="15988" width="1.85546875" style="247" bestFit="1" customWidth="1"/>
    <col min="15989" max="16235" width="0.85546875" style="247"/>
    <col min="16236" max="16236" width="3.5703125" style="247" bestFit="1" customWidth="1"/>
    <col min="16237" max="16237" width="12.28515625" style="247" customWidth="1"/>
    <col min="16238" max="16238" width="25.85546875" style="247" customWidth="1"/>
    <col min="16239" max="16243" width="0.85546875" style="247"/>
    <col min="16244" max="16244" width="1.85546875" style="247" bestFit="1" customWidth="1"/>
    <col min="16245" max="16384" width="0.85546875" style="247"/>
  </cols>
  <sheetData>
    <row r="1" spans="1:109" ht="3" customHeight="1" x14ac:dyDescent="0.25"/>
    <row r="2" spans="1:109" s="248" customFormat="1" ht="29.25" customHeight="1" x14ac:dyDescent="0.2">
      <c r="A2" s="519" t="s">
        <v>507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519"/>
      <c r="BJ2" s="519"/>
      <c r="BK2" s="519"/>
      <c r="BL2" s="519"/>
      <c r="BM2" s="519"/>
      <c r="BN2" s="519"/>
      <c r="BO2" s="519"/>
      <c r="BP2" s="519"/>
      <c r="BQ2" s="519"/>
      <c r="BR2" s="519"/>
      <c r="BS2" s="519"/>
      <c r="BT2" s="519"/>
      <c r="BU2" s="519"/>
      <c r="BV2" s="519"/>
      <c r="BW2" s="519"/>
      <c r="BX2" s="519"/>
      <c r="BY2" s="519"/>
      <c r="BZ2" s="519"/>
      <c r="CA2" s="519"/>
      <c r="CB2" s="519"/>
      <c r="CC2" s="519"/>
      <c r="CD2" s="519"/>
      <c r="CE2" s="519"/>
      <c r="CF2" s="519"/>
      <c r="CG2" s="519"/>
      <c r="CH2" s="519"/>
      <c r="CI2" s="519"/>
      <c r="CJ2" s="519"/>
      <c r="CK2" s="519"/>
      <c r="CL2" s="519"/>
      <c r="CM2" s="519"/>
      <c r="CN2" s="519"/>
      <c r="CO2" s="519"/>
      <c r="CP2" s="519"/>
      <c r="CQ2" s="519"/>
      <c r="CR2" s="519"/>
      <c r="CS2" s="519"/>
      <c r="CT2" s="519"/>
      <c r="CU2" s="519"/>
      <c r="CV2" s="519"/>
      <c r="CW2" s="519"/>
      <c r="CX2" s="519"/>
      <c r="CY2" s="519"/>
      <c r="CZ2" s="519"/>
      <c r="DA2" s="519"/>
      <c r="DE2" s="249"/>
    </row>
    <row r="3" spans="1:109" ht="15" customHeight="1" x14ac:dyDescent="0.25">
      <c r="DE3" s="250"/>
    </row>
    <row r="4" spans="1:109" s="251" customFormat="1" ht="45" customHeight="1" x14ac:dyDescent="0.25">
      <c r="A4" s="520" t="s">
        <v>176</v>
      </c>
      <c r="B4" s="521"/>
      <c r="C4" s="521"/>
      <c r="D4" s="521"/>
      <c r="E4" s="521"/>
      <c r="F4" s="522"/>
      <c r="G4" s="520" t="s">
        <v>508</v>
      </c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2"/>
      <c r="AE4" s="520" t="s">
        <v>509</v>
      </c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2"/>
      <c r="BD4" s="520" t="s">
        <v>510</v>
      </c>
      <c r="BE4" s="521"/>
      <c r="BF4" s="521"/>
      <c r="BG4" s="521"/>
      <c r="BH4" s="521"/>
      <c r="BI4" s="521"/>
      <c r="BJ4" s="521"/>
      <c r="BK4" s="521"/>
      <c r="BL4" s="521"/>
      <c r="BM4" s="521"/>
      <c r="BN4" s="521"/>
      <c r="BO4" s="521"/>
      <c r="BP4" s="521"/>
      <c r="BQ4" s="521"/>
      <c r="BR4" s="521"/>
      <c r="BS4" s="522"/>
      <c r="BT4" s="520" t="s">
        <v>511</v>
      </c>
      <c r="BU4" s="521"/>
      <c r="BV4" s="521"/>
      <c r="BW4" s="521"/>
      <c r="BX4" s="521"/>
      <c r="BY4" s="521"/>
      <c r="BZ4" s="521"/>
      <c r="CA4" s="521"/>
      <c r="CB4" s="521"/>
      <c r="CC4" s="521"/>
      <c r="CD4" s="521"/>
      <c r="CE4" s="521"/>
      <c r="CF4" s="521"/>
      <c r="CG4" s="521"/>
      <c r="CH4" s="521"/>
      <c r="CI4" s="522"/>
      <c r="CJ4" s="520" t="s">
        <v>512</v>
      </c>
      <c r="CK4" s="521"/>
      <c r="CL4" s="521"/>
      <c r="CM4" s="521"/>
      <c r="CN4" s="521"/>
      <c r="CO4" s="521"/>
      <c r="CP4" s="521"/>
      <c r="CQ4" s="521"/>
      <c r="CR4" s="521"/>
      <c r="CS4" s="521"/>
      <c r="CT4" s="521"/>
      <c r="CU4" s="521"/>
      <c r="CV4" s="521"/>
      <c r="CW4" s="521"/>
      <c r="CX4" s="521"/>
      <c r="CY4" s="521"/>
      <c r="CZ4" s="521"/>
      <c r="DA4" s="522"/>
      <c r="DE4" s="250"/>
    </row>
    <row r="5" spans="1:109" s="187" customFormat="1" ht="12.75" x14ac:dyDescent="0.25">
      <c r="A5" s="515">
        <v>1</v>
      </c>
      <c r="B5" s="515"/>
      <c r="C5" s="515"/>
      <c r="D5" s="515"/>
      <c r="E5" s="515"/>
      <c r="F5" s="515"/>
      <c r="G5" s="515">
        <v>2</v>
      </c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>
        <v>3</v>
      </c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>
        <v>4</v>
      </c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>
        <v>5</v>
      </c>
      <c r="BU5" s="515"/>
      <c r="BV5" s="515"/>
      <c r="BW5" s="515"/>
      <c r="BX5" s="515"/>
      <c r="BY5" s="515"/>
      <c r="BZ5" s="515"/>
      <c r="CA5" s="515"/>
      <c r="CB5" s="515"/>
      <c r="CC5" s="515"/>
      <c r="CD5" s="515"/>
      <c r="CE5" s="515"/>
      <c r="CF5" s="515"/>
      <c r="CG5" s="515"/>
      <c r="CH5" s="515"/>
      <c r="CI5" s="515"/>
      <c r="CJ5" s="515">
        <v>6</v>
      </c>
      <c r="CK5" s="515"/>
      <c r="CL5" s="515"/>
      <c r="CM5" s="515"/>
      <c r="CN5" s="515"/>
      <c r="CO5" s="515"/>
      <c r="CP5" s="515"/>
      <c r="CQ5" s="515"/>
      <c r="CR5" s="515"/>
      <c r="CS5" s="515"/>
      <c r="CT5" s="515"/>
      <c r="CU5" s="515"/>
      <c r="CV5" s="515"/>
      <c r="CW5" s="515"/>
      <c r="CX5" s="515"/>
      <c r="CY5" s="515"/>
      <c r="CZ5" s="515"/>
      <c r="DA5" s="515"/>
      <c r="DE5" s="250"/>
    </row>
    <row r="6" spans="1:109" s="250" customFormat="1" ht="15" customHeight="1" x14ac:dyDescent="0.25">
      <c r="A6" s="508" t="s">
        <v>513</v>
      </c>
      <c r="B6" s="508"/>
      <c r="C6" s="508"/>
      <c r="D6" s="508"/>
      <c r="E6" s="508"/>
      <c r="F6" s="508"/>
      <c r="G6" s="509" t="s">
        <v>514</v>
      </c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10">
        <v>400</v>
      </c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>
        <v>3</v>
      </c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71">
        <v>7</v>
      </c>
      <c r="BU6" s="572"/>
      <c r="BV6" s="572"/>
      <c r="BW6" s="572"/>
      <c r="BX6" s="572"/>
      <c r="BY6" s="572"/>
      <c r="BZ6" s="572"/>
      <c r="CA6" s="572"/>
      <c r="CB6" s="572"/>
      <c r="CC6" s="572"/>
      <c r="CD6" s="572"/>
      <c r="CE6" s="572"/>
      <c r="CF6" s="572"/>
      <c r="CG6" s="572"/>
      <c r="CH6" s="572"/>
      <c r="CI6" s="573"/>
      <c r="CJ6" s="511">
        <f>'Командировочные расходы '!F5+'Повыш квалиф '!D7</f>
        <v>0</v>
      </c>
      <c r="CK6" s="511"/>
      <c r="CL6" s="511"/>
      <c r="CM6" s="511"/>
      <c r="CN6" s="511"/>
      <c r="CO6" s="511"/>
      <c r="CP6" s="511"/>
      <c r="CQ6" s="511"/>
      <c r="CR6" s="511"/>
      <c r="CS6" s="511"/>
      <c r="CT6" s="511"/>
      <c r="CU6" s="511"/>
      <c r="CV6" s="511"/>
      <c r="CW6" s="511"/>
      <c r="CX6" s="511"/>
      <c r="CY6" s="511"/>
      <c r="CZ6" s="511"/>
      <c r="DA6" s="511"/>
    </row>
    <row r="7" spans="1:109" s="250" customFormat="1" ht="15" customHeight="1" x14ac:dyDescent="0.25">
      <c r="A7" s="508" t="s">
        <v>515</v>
      </c>
      <c r="B7" s="508"/>
      <c r="C7" s="508"/>
      <c r="D7" s="508"/>
      <c r="E7" s="508"/>
      <c r="F7" s="508"/>
      <c r="G7" s="509" t="s">
        <v>516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510"/>
      <c r="BD7" s="510">
        <v>7</v>
      </c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0"/>
      <c r="BS7" s="510"/>
      <c r="BT7" s="571"/>
      <c r="BU7" s="572"/>
      <c r="BV7" s="572"/>
      <c r="BW7" s="572"/>
      <c r="BX7" s="572"/>
      <c r="BY7" s="572"/>
      <c r="BZ7" s="572"/>
      <c r="CA7" s="572"/>
      <c r="CB7" s="572"/>
      <c r="CC7" s="572"/>
      <c r="CD7" s="572"/>
      <c r="CE7" s="572"/>
      <c r="CF7" s="572"/>
      <c r="CG7" s="572"/>
      <c r="CH7" s="572"/>
      <c r="CI7" s="573"/>
      <c r="CJ7" s="511">
        <f>'Повыш квалиф '!I7+'Командировочные расходы '!K5</f>
        <v>0</v>
      </c>
      <c r="CK7" s="511"/>
      <c r="CL7" s="511"/>
      <c r="CM7" s="511"/>
      <c r="CN7" s="511"/>
      <c r="CO7" s="511"/>
      <c r="CP7" s="511"/>
      <c r="CQ7" s="511"/>
      <c r="CR7" s="511"/>
      <c r="CS7" s="511"/>
      <c r="CT7" s="511"/>
      <c r="CU7" s="511"/>
      <c r="CV7" s="511"/>
      <c r="CW7" s="511"/>
      <c r="CX7" s="511"/>
      <c r="CY7" s="511"/>
      <c r="CZ7" s="511"/>
      <c r="DA7" s="511"/>
    </row>
    <row r="8" spans="1:109" s="250" customFormat="1" ht="15" customHeight="1" x14ac:dyDescent="0.2">
      <c r="A8" s="508" t="s">
        <v>517</v>
      </c>
      <c r="B8" s="508"/>
      <c r="C8" s="508"/>
      <c r="D8" s="508"/>
      <c r="E8" s="508"/>
      <c r="F8" s="508"/>
      <c r="G8" s="509" t="s">
        <v>518</v>
      </c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28"/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29"/>
      <c r="AQ8" s="529"/>
      <c r="AR8" s="529"/>
      <c r="AS8" s="529"/>
      <c r="AT8" s="529"/>
      <c r="AU8" s="529"/>
      <c r="AV8" s="529"/>
      <c r="AW8" s="529"/>
      <c r="AX8" s="529"/>
      <c r="AY8" s="529"/>
      <c r="AZ8" s="529"/>
      <c r="BA8" s="529"/>
      <c r="BB8" s="529"/>
      <c r="BC8" s="530"/>
      <c r="BD8" s="510">
        <v>7</v>
      </c>
      <c r="BE8" s="510"/>
      <c r="BF8" s="510"/>
      <c r="BG8" s="510"/>
      <c r="BH8" s="510"/>
      <c r="BI8" s="510"/>
      <c r="BJ8" s="510"/>
      <c r="BK8" s="510"/>
      <c r="BL8" s="510"/>
      <c r="BM8" s="510"/>
      <c r="BN8" s="510"/>
      <c r="BO8" s="510"/>
      <c r="BP8" s="510"/>
      <c r="BQ8" s="510"/>
      <c r="BR8" s="510"/>
      <c r="BS8" s="510"/>
      <c r="BT8" s="571"/>
      <c r="BU8" s="572"/>
      <c r="BV8" s="572"/>
      <c r="BW8" s="572"/>
      <c r="BX8" s="572"/>
      <c r="BY8" s="572"/>
      <c r="BZ8" s="572"/>
      <c r="CA8" s="572"/>
      <c r="CB8" s="572"/>
      <c r="CC8" s="572"/>
      <c r="CD8" s="572"/>
      <c r="CE8" s="572"/>
      <c r="CF8" s="572"/>
      <c r="CG8" s="572"/>
      <c r="CH8" s="572"/>
      <c r="CI8" s="573"/>
      <c r="CJ8" s="511">
        <f>'Повыш квалиф '!F7+'Командировочные расходы '!H5</f>
        <v>0</v>
      </c>
      <c r="CK8" s="511"/>
      <c r="CL8" s="511"/>
      <c r="CM8" s="511"/>
      <c r="CN8" s="511"/>
      <c r="CO8" s="511"/>
      <c r="CP8" s="511"/>
      <c r="CQ8" s="511"/>
      <c r="CR8" s="511"/>
      <c r="CS8" s="511"/>
      <c r="CT8" s="511"/>
      <c r="CU8" s="511"/>
      <c r="CV8" s="511"/>
      <c r="CW8" s="511"/>
      <c r="CX8" s="511"/>
      <c r="CY8" s="511"/>
      <c r="CZ8" s="511"/>
      <c r="DA8" s="511"/>
      <c r="DE8" s="180"/>
    </row>
    <row r="9" spans="1:109" s="250" customFormat="1" ht="25.5" customHeight="1" x14ac:dyDescent="0.2">
      <c r="A9" s="508" t="s">
        <v>519</v>
      </c>
      <c r="B9" s="508"/>
      <c r="C9" s="508"/>
      <c r="D9" s="508"/>
      <c r="E9" s="508"/>
      <c r="F9" s="508"/>
      <c r="G9" s="509" t="s">
        <v>520</v>
      </c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28"/>
      <c r="AF9" s="529"/>
      <c r="AG9" s="529"/>
      <c r="AH9" s="529"/>
      <c r="AI9" s="529"/>
      <c r="AJ9" s="529"/>
      <c r="AK9" s="529"/>
      <c r="AL9" s="529"/>
      <c r="AM9" s="529"/>
      <c r="AN9" s="529"/>
      <c r="AO9" s="529"/>
      <c r="AP9" s="529"/>
      <c r="AQ9" s="529"/>
      <c r="AR9" s="529"/>
      <c r="AS9" s="529"/>
      <c r="AT9" s="529"/>
      <c r="AU9" s="529"/>
      <c r="AV9" s="529"/>
      <c r="AW9" s="529"/>
      <c r="AX9" s="529"/>
      <c r="AY9" s="529"/>
      <c r="AZ9" s="529"/>
      <c r="BA9" s="529"/>
      <c r="BB9" s="529"/>
      <c r="BC9" s="530"/>
      <c r="BD9" s="510"/>
      <c r="BE9" s="510"/>
      <c r="BF9" s="510"/>
      <c r="BG9" s="510"/>
      <c r="BH9" s="510"/>
      <c r="BI9" s="510"/>
      <c r="BJ9" s="510"/>
      <c r="BK9" s="510"/>
      <c r="BL9" s="510"/>
      <c r="BM9" s="510"/>
      <c r="BN9" s="510"/>
      <c r="BO9" s="510"/>
      <c r="BP9" s="510"/>
      <c r="BQ9" s="510"/>
      <c r="BR9" s="510"/>
      <c r="BS9" s="510"/>
      <c r="BT9" s="571"/>
      <c r="BU9" s="572"/>
      <c r="BV9" s="572"/>
      <c r="BW9" s="572"/>
      <c r="BX9" s="572"/>
      <c r="BY9" s="572"/>
      <c r="BZ9" s="572"/>
      <c r="CA9" s="572"/>
      <c r="CB9" s="572"/>
      <c r="CC9" s="572"/>
      <c r="CD9" s="572"/>
      <c r="CE9" s="572"/>
      <c r="CF9" s="572"/>
      <c r="CG9" s="572"/>
      <c r="CH9" s="572"/>
      <c r="CI9" s="573"/>
      <c r="CJ9" s="511">
        <f>'заочная учёба 214-501'!C7</f>
        <v>54000</v>
      </c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1"/>
      <c r="CZ9" s="511"/>
      <c r="DA9" s="511"/>
      <c r="DE9" s="252"/>
    </row>
    <row r="10" spans="1:109" s="250" customFormat="1" ht="15" customHeight="1" x14ac:dyDescent="0.2">
      <c r="A10" s="508"/>
      <c r="B10" s="508"/>
      <c r="C10" s="508"/>
      <c r="D10" s="508"/>
      <c r="E10" s="508"/>
      <c r="F10" s="508"/>
      <c r="G10" s="512" t="s">
        <v>521</v>
      </c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3"/>
      <c r="AE10" s="510" t="s">
        <v>494</v>
      </c>
      <c r="AF10" s="510"/>
      <c r="AG10" s="510"/>
      <c r="AH10" s="510"/>
      <c r="AI10" s="510"/>
      <c r="AJ10" s="510"/>
      <c r="AK10" s="510"/>
      <c r="AL10" s="510"/>
      <c r="AM10" s="510"/>
      <c r="AN10" s="510"/>
      <c r="AO10" s="510"/>
      <c r="AP10" s="510"/>
      <c r="AQ10" s="510"/>
      <c r="AR10" s="510"/>
      <c r="AS10" s="510"/>
      <c r="AT10" s="510"/>
      <c r="AU10" s="510"/>
      <c r="AV10" s="510"/>
      <c r="AW10" s="510"/>
      <c r="AX10" s="510"/>
      <c r="AY10" s="510"/>
      <c r="AZ10" s="510"/>
      <c r="BA10" s="510"/>
      <c r="BB10" s="510"/>
      <c r="BC10" s="510"/>
      <c r="BD10" s="510" t="s">
        <v>494</v>
      </c>
      <c r="BE10" s="510"/>
      <c r="BF10" s="510"/>
      <c r="BG10" s="510"/>
      <c r="BH10" s="510"/>
      <c r="BI10" s="510"/>
      <c r="BJ10" s="510"/>
      <c r="BK10" s="510"/>
      <c r="BL10" s="510"/>
      <c r="BM10" s="510"/>
      <c r="BN10" s="510"/>
      <c r="BO10" s="510"/>
      <c r="BP10" s="510"/>
      <c r="BQ10" s="510"/>
      <c r="BR10" s="510"/>
      <c r="BS10" s="510"/>
      <c r="BT10" s="510" t="s">
        <v>494</v>
      </c>
      <c r="BU10" s="510"/>
      <c r="BV10" s="510"/>
      <c r="BW10" s="510"/>
      <c r="BX10" s="510"/>
      <c r="BY10" s="510"/>
      <c r="BZ10" s="510"/>
      <c r="CA10" s="510"/>
      <c r="CB10" s="510"/>
      <c r="CC10" s="510"/>
      <c r="CD10" s="510"/>
      <c r="CE10" s="510"/>
      <c r="CF10" s="510"/>
      <c r="CG10" s="510"/>
      <c r="CH10" s="510"/>
      <c r="CI10" s="510"/>
      <c r="CJ10" s="514">
        <f>CJ6+CJ7+CJ8+CJ9</f>
        <v>54000</v>
      </c>
      <c r="CK10" s="514"/>
      <c r="CL10" s="514"/>
      <c r="CM10" s="514"/>
      <c r="CN10" s="514"/>
      <c r="CO10" s="514"/>
      <c r="CP10" s="514"/>
      <c r="CQ10" s="514"/>
      <c r="CR10" s="514"/>
      <c r="CS10" s="514"/>
      <c r="CT10" s="514"/>
      <c r="CU10" s="514"/>
      <c r="CV10" s="514"/>
      <c r="CW10" s="514"/>
      <c r="CX10" s="514"/>
      <c r="CY10" s="514"/>
      <c r="CZ10" s="514"/>
      <c r="DA10" s="514"/>
      <c r="DE10" s="180">
        <v>212</v>
      </c>
    </row>
    <row r="11" spans="1:109" ht="12" customHeight="1" x14ac:dyDescent="0.25">
      <c r="DE11" s="253"/>
    </row>
    <row r="12" spans="1:109" s="248" customFormat="1" ht="14.25" hidden="1" x14ac:dyDescent="0.2">
      <c r="A12" s="527" t="s">
        <v>522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/>
      <c r="BU12" s="527"/>
      <c r="BV12" s="527"/>
      <c r="BW12" s="527"/>
      <c r="BX12" s="527"/>
      <c r="BY12" s="527"/>
      <c r="BZ12" s="527"/>
      <c r="CA12" s="527"/>
      <c r="CB12" s="527"/>
      <c r="CC12" s="527"/>
      <c r="CD12" s="527"/>
      <c r="CE12" s="527"/>
      <c r="CF12" s="527"/>
      <c r="CG12" s="527"/>
      <c r="CH12" s="527"/>
      <c r="CI12" s="527"/>
      <c r="CJ12" s="527"/>
      <c r="CK12" s="527"/>
      <c r="CL12" s="527"/>
      <c r="CM12" s="527"/>
      <c r="CN12" s="527"/>
      <c r="CO12" s="527"/>
      <c r="CP12" s="527"/>
      <c r="CQ12" s="527"/>
      <c r="CR12" s="527"/>
      <c r="CS12" s="527"/>
      <c r="CT12" s="527"/>
      <c r="CU12" s="527"/>
      <c r="CV12" s="527"/>
      <c r="CW12" s="527"/>
      <c r="CX12" s="527"/>
      <c r="CY12" s="527"/>
      <c r="CZ12" s="527"/>
      <c r="DA12" s="527"/>
      <c r="DE12" s="249"/>
    </row>
    <row r="13" spans="1:109" ht="10.5" hidden="1" customHeight="1" x14ac:dyDescent="0.25">
      <c r="DE13" s="250"/>
    </row>
    <row r="14" spans="1:109" s="251" customFormat="1" ht="55.5" hidden="1" customHeight="1" x14ac:dyDescent="0.25">
      <c r="A14" s="520" t="s">
        <v>176</v>
      </c>
      <c r="B14" s="521"/>
      <c r="C14" s="521"/>
      <c r="D14" s="521"/>
      <c r="E14" s="521"/>
      <c r="F14" s="522"/>
      <c r="G14" s="520" t="s">
        <v>508</v>
      </c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2"/>
      <c r="AE14" s="520" t="s">
        <v>523</v>
      </c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2"/>
      <c r="AZ14" s="520" t="s">
        <v>524</v>
      </c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1"/>
      <c r="BM14" s="521"/>
      <c r="BN14" s="521"/>
      <c r="BO14" s="521"/>
      <c r="BP14" s="521"/>
      <c r="BQ14" s="522"/>
      <c r="BR14" s="520" t="s">
        <v>525</v>
      </c>
      <c r="BS14" s="521"/>
      <c r="BT14" s="521"/>
      <c r="BU14" s="521"/>
      <c r="BV14" s="521"/>
      <c r="BW14" s="521"/>
      <c r="BX14" s="521"/>
      <c r="BY14" s="521"/>
      <c r="BZ14" s="521"/>
      <c r="CA14" s="521"/>
      <c r="CB14" s="521"/>
      <c r="CC14" s="521"/>
      <c r="CD14" s="521"/>
      <c r="CE14" s="521"/>
      <c r="CF14" s="521"/>
      <c r="CG14" s="521"/>
      <c r="CH14" s="521"/>
      <c r="CI14" s="522"/>
      <c r="CJ14" s="520" t="s">
        <v>512</v>
      </c>
      <c r="CK14" s="521"/>
      <c r="CL14" s="521"/>
      <c r="CM14" s="521"/>
      <c r="CN14" s="521"/>
      <c r="CO14" s="521"/>
      <c r="CP14" s="521"/>
      <c r="CQ14" s="521"/>
      <c r="CR14" s="521"/>
      <c r="CS14" s="521"/>
      <c r="CT14" s="521"/>
      <c r="CU14" s="521"/>
      <c r="CV14" s="521"/>
      <c r="CW14" s="521"/>
      <c r="CX14" s="521"/>
      <c r="CY14" s="521"/>
      <c r="CZ14" s="521"/>
      <c r="DA14" s="522"/>
      <c r="DE14" s="250"/>
    </row>
    <row r="15" spans="1:109" s="187" customFormat="1" ht="12.75" hidden="1" x14ac:dyDescent="0.25">
      <c r="A15" s="515">
        <v>1</v>
      </c>
      <c r="B15" s="515"/>
      <c r="C15" s="515"/>
      <c r="D15" s="515"/>
      <c r="E15" s="515"/>
      <c r="F15" s="515"/>
      <c r="G15" s="515">
        <v>2</v>
      </c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>
        <v>3</v>
      </c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515"/>
      <c r="AX15" s="515"/>
      <c r="AY15" s="515"/>
      <c r="AZ15" s="515">
        <v>4</v>
      </c>
      <c r="BA15" s="515"/>
      <c r="BB15" s="515"/>
      <c r="BC15" s="515"/>
      <c r="BD15" s="515"/>
      <c r="BE15" s="515"/>
      <c r="BF15" s="515"/>
      <c r="BG15" s="515"/>
      <c r="BH15" s="515"/>
      <c r="BI15" s="515"/>
      <c r="BJ15" s="515"/>
      <c r="BK15" s="515"/>
      <c r="BL15" s="515"/>
      <c r="BM15" s="515"/>
      <c r="BN15" s="515"/>
      <c r="BO15" s="515"/>
      <c r="BP15" s="515"/>
      <c r="BQ15" s="515"/>
      <c r="BR15" s="515">
        <v>5</v>
      </c>
      <c r="BS15" s="515"/>
      <c r="BT15" s="515"/>
      <c r="BU15" s="515"/>
      <c r="BV15" s="515"/>
      <c r="BW15" s="515"/>
      <c r="BX15" s="515"/>
      <c r="BY15" s="515"/>
      <c r="BZ15" s="515"/>
      <c r="CA15" s="515"/>
      <c r="CB15" s="515"/>
      <c r="CC15" s="515"/>
      <c r="CD15" s="515"/>
      <c r="CE15" s="515"/>
      <c r="CF15" s="515"/>
      <c r="CG15" s="515"/>
      <c r="CH15" s="515"/>
      <c r="CI15" s="515"/>
      <c r="CJ15" s="515">
        <v>6</v>
      </c>
      <c r="CK15" s="515"/>
      <c r="CL15" s="515"/>
      <c r="CM15" s="515"/>
      <c r="CN15" s="515"/>
      <c r="CO15" s="515"/>
      <c r="CP15" s="515"/>
      <c r="CQ15" s="515"/>
      <c r="CR15" s="515"/>
      <c r="CS15" s="515"/>
      <c r="CT15" s="515"/>
      <c r="CU15" s="515"/>
      <c r="CV15" s="515"/>
      <c r="CW15" s="515"/>
      <c r="CX15" s="515"/>
      <c r="CY15" s="515"/>
      <c r="CZ15" s="515"/>
      <c r="DA15" s="515"/>
      <c r="DE15" s="250"/>
    </row>
    <row r="16" spans="1:109" s="250" customFormat="1" ht="27" hidden="1" customHeight="1" x14ac:dyDescent="0.2">
      <c r="A16" s="508" t="s">
        <v>513</v>
      </c>
      <c r="B16" s="508"/>
      <c r="C16" s="508"/>
      <c r="D16" s="508"/>
      <c r="E16" s="508"/>
      <c r="F16" s="508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0"/>
      <c r="AU16" s="510"/>
      <c r="AV16" s="510"/>
      <c r="AW16" s="510"/>
      <c r="AX16" s="510"/>
      <c r="AY16" s="510"/>
      <c r="AZ16" s="510"/>
      <c r="BA16" s="510"/>
      <c r="BB16" s="510"/>
      <c r="BC16" s="510"/>
      <c r="BD16" s="510"/>
      <c r="BE16" s="510"/>
      <c r="BF16" s="510"/>
      <c r="BG16" s="510"/>
      <c r="BH16" s="510"/>
      <c r="BI16" s="510"/>
      <c r="BJ16" s="510"/>
      <c r="BK16" s="510"/>
      <c r="BL16" s="510"/>
      <c r="BM16" s="510"/>
      <c r="BN16" s="510"/>
      <c r="BO16" s="510"/>
      <c r="BP16" s="510"/>
      <c r="BQ16" s="510"/>
      <c r="BR16" s="510"/>
      <c r="BS16" s="510"/>
      <c r="BT16" s="510"/>
      <c r="BU16" s="510"/>
      <c r="BV16" s="510"/>
      <c r="BW16" s="510"/>
      <c r="BX16" s="510"/>
      <c r="BY16" s="510"/>
      <c r="BZ16" s="510"/>
      <c r="CA16" s="510"/>
      <c r="CB16" s="510"/>
      <c r="CC16" s="510"/>
      <c r="CD16" s="510"/>
      <c r="CE16" s="510"/>
      <c r="CF16" s="510"/>
      <c r="CG16" s="510"/>
      <c r="CH16" s="510"/>
      <c r="CI16" s="510"/>
      <c r="CJ16" s="510">
        <f>AE16*AZ16*BR16</f>
        <v>0</v>
      </c>
      <c r="CK16" s="510"/>
      <c r="CL16" s="510"/>
      <c r="CM16" s="510"/>
      <c r="CN16" s="510"/>
      <c r="CO16" s="510"/>
      <c r="CP16" s="510"/>
      <c r="CQ16" s="510"/>
      <c r="CR16" s="510"/>
      <c r="CS16" s="510"/>
      <c r="CT16" s="510"/>
      <c r="CU16" s="510"/>
      <c r="CV16" s="510"/>
      <c r="CW16" s="510"/>
      <c r="CX16" s="510"/>
      <c r="CY16" s="510"/>
      <c r="CZ16" s="510"/>
      <c r="DA16" s="510"/>
      <c r="DE16" s="180"/>
    </row>
    <row r="17" spans="1:109" s="250" customFormat="1" ht="15" hidden="1" customHeight="1" x14ac:dyDescent="0.2">
      <c r="A17" s="508"/>
      <c r="B17" s="508"/>
      <c r="C17" s="508"/>
      <c r="D17" s="508"/>
      <c r="E17" s="508"/>
      <c r="F17" s="508"/>
      <c r="G17" s="512" t="s">
        <v>521</v>
      </c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  <c r="AC17" s="512"/>
      <c r="AD17" s="513"/>
      <c r="AE17" s="510" t="s">
        <v>494</v>
      </c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 t="s">
        <v>494</v>
      </c>
      <c r="BA17" s="510"/>
      <c r="BB17" s="510"/>
      <c r="BC17" s="510"/>
      <c r="BD17" s="510"/>
      <c r="BE17" s="510"/>
      <c r="BF17" s="510"/>
      <c r="BG17" s="510"/>
      <c r="BH17" s="510"/>
      <c r="BI17" s="510"/>
      <c r="BJ17" s="510"/>
      <c r="BK17" s="510"/>
      <c r="BL17" s="510"/>
      <c r="BM17" s="510"/>
      <c r="BN17" s="510"/>
      <c r="BO17" s="510"/>
      <c r="BP17" s="510"/>
      <c r="BQ17" s="510"/>
      <c r="BR17" s="510" t="s">
        <v>494</v>
      </c>
      <c r="BS17" s="510"/>
      <c r="BT17" s="510"/>
      <c r="BU17" s="510"/>
      <c r="BV17" s="510"/>
      <c r="BW17" s="510"/>
      <c r="BX17" s="510"/>
      <c r="BY17" s="510"/>
      <c r="BZ17" s="510"/>
      <c r="CA17" s="510"/>
      <c r="CB17" s="510"/>
      <c r="CC17" s="510"/>
      <c r="CD17" s="510"/>
      <c r="CE17" s="510"/>
      <c r="CF17" s="510"/>
      <c r="CG17" s="510"/>
      <c r="CH17" s="510"/>
      <c r="CI17" s="510"/>
      <c r="CJ17" s="514">
        <f>CJ16</f>
        <v>0</v>
      </c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4"/>
      <c r="CY17" s="514"/>
      <c r="CZ17" s="514"/>
      <c r="DA17" s="514"/>
      <c r="DE17" s="180"/>
    </row>
    <row r="19" spans="1:109" s="248" customFormat="1" ht="64.5" customHeight="1" x14ac:dyDescent="0.2">
      <c r="A19" s="519" t="s">
        <v>526</v>
      </c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19"/>
      <c r="AV19" s="519"/>
      <c r="AW19" s="519"/>
      <c r="AX19" s="519"/>
      <c r="AY19" s="519"/>
      <c r="AZ19" s="519"/>
      <c r="BA19" s="519"/>
      <c r="BB19" s="519"/>
      <c r="BC19" s="519"/>
      <c r="BD19" s="519"/>
      <c r="BE19" s="519"/>
      <c r="BF19" s="519"/>
      <c r="BG19" s="519"/>
      <c r="BH19" s="519"/>
      <c r="BI19" s="519"/>
      <c r="BJ19" s="519"/>
      <c r="BK19" s="519"/>
      <c r="BL19" s="519"/>
      <c r="BM19" s="519"/>
      <c r="BN19" s="519"/>
      <c r="BO19" s="519"/>
      <c r="BP19" s="519"/>
      <c r="BQ19" s="519"/>
      <c r="BR19" s="519"/>
      <c r="BS19" s="519"/>
      <c r="BT19" s="519"/>
      <c r="BU19" s="519"/>
      <c r="BV19" s="519"/>
      <c r="BW19" s="519"/>
      <c r="BX19" s="519"/>
      <c r="BY19" s="519"/>
      <c r="BZ19" s="519"/>
      <c r="CA19" s="519"/>
      <c r="CB19" s="519"/>
      <c r="CC19" s="519"/>
      <c r="CD19" s="519"/>
      <c r="CE19" s="519"/>
      <c r="CF19" s="519"/>
      <c r="CG19" s="519"/>
      <c r="CH19" s="519"/>
      <c r="CI19" s="519"/>
      <c r="CJ19" s="519"/>
      <c r="CK19" s="519"/>
      <c r="CL19" s="519"/>
      <c r="CM19" s="519"/>
      <c r="CN19" s="519"/>
      <c r="CO19" s="519"/>
      <c r="CP19" s="519"/>
      <c r="CQ19" s="519"/>
      <c r="CR19" s="519"/>
      <c r="CS19" s="519"/>
      <c r="CT19" s="519"/>
      <c r="CU19" s="519"/>
      <c r="CV19" s="519"/>
      <c r="CW19" s="519"/>
      <c r="CX19" s="519"/>
      <c r="CY19" s="519"/>
      <c r="CZ19" s="519"/>
      <c r="DA19" s="519"/>
      <c r="DE19" s="180"/>
    </row>
    <row r="20" spans="1:109" ht="10.5" customHeight="1" x14ac:dyDescent="0.25"/>
    <row r="21" spans="1:109" ht="55.5" customHeight="1" x14ac:dyDescent="0.25">
      <c r="A21" s="520" t="s">
        <v>176</v>
      </c>
      <c r="B21" s="521"/>
      <c r="C21" s="521"/>
      <c r="D21" s="521"/>
      <c r="E21" s="521"/>
      <c r="F21" s="522"/>
      <c r="G21" s="520" t="s">
        <v>527</v>
      </c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21"/>
      <c r="BP21" s="521"/>
      <c r="BQ21" s="521"/>
      <c r="BR21" s="521"/>
      <c r="BS21" s="521"/>
      <c r="BT21" s="521"/>
      <c r="BU21" s="521"/>
      <c r="BV21" s="522"/>
      <c r="BW21" s="520" t="s">
        <v>528</v>
      </c>
      <c r="BX21" s="521"/>
      <c r="BY21" s="521"/>
      <c r="BZ21" s="521"/>
      <c r="CA21" s="521"/>
      <c r="CB21" s="521"/>
      <c r="CC21" s="521"/>
      <c r="CD21" s="521"/>
      <c r="CE21" s="521"/>
      <c r="CF21" s="521"/>
      <c r="CG21" s="521"/>
      <c r="CH21" s="521"/>
      <c r="CI21" s="521"/>
      <c r="CJ21" s="521"/>
      <c r="CK21" s="521"/>
      <c r="CL21" s="522"/>
      <c r="CM21" s="520" t="s">
        <v>529</v>
      </c>
      <c r="CN21" s="521"/>
      <c r="CO21" s="521"/>
      <c r="CP21" s="521"/>
      <c r="CQ21" s="521"/>
      <c r="CR21" s="521"/>
      <c r="CS21" s="521"/>
      <c r="CT21" s="521"/>
      <c r="CU21" s="521"/>
      <c r="CV21" s="521"/>
      <c r="CW21" s="521"/>
      <c r="CX21" s="521"/>
      <c r="CY21" s="521"/>
      <c r="CZ21" s="521"/>
      <c r="DA21" s="522"/>
    </row>
    <row r="22" spans="1:109" s="180" customFormat="1" ht="12.75" x14ac:dyDescent="0.2">
      <c r="A22" s="515">
        <v>1</v>
      </c>
      <c r="B22" s="515"/>
      <c r="C22" s="515"/>
      <c r="D22" s="515"/>
      <c r="E22" s="515"/>
      <c r="F22" s="515"/>
      <c r="G22" s="515">
        <v>2</v>
      </c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/>
      <c r="AO22" s="515"/>
      <c r="AP22" s="515"/>
      <c r="AQ22" s="515"/>
      <c r="AR22" s="515"/>
      <c r="AS22" s="515"/>
      <c r="AT22" s="515"/>
      <c r="AU22" s="515"/>
      <c r="AV22" s="515"/>
      <c r="AW22" s="515"/>
      <c r="AX22" s="515"/>
      <c r="AY22" s="515"/>
      <c r="AZ22" s="515"/>
      <c r="BA22" s="515"/>
      <c r="BB22" s="515"/>
      <c r="BC22" s="515"/>
      <c r="BD22" s="515"/>
      <c r="BE22" s="515"/>
      <c r="BF22" s="515"/>
      <c r="BG22" s="515"/>
      <c r="BH22" s="515"/>
      <c r="BI22" s="515"/>
      <c r="BJ22" s="515"/>
      <c r="BK22" s="515"/>
      <c r="BL22" s="515"/>
      <c r="BM22" s="515"/>
      <c r="BN22" s="515"/>
      <c r="BO22" s="515"/>
      <c r="BP22" s="515"/>
      <c r="BQ22" s="515"/>
      <c r="BR22" s="515"/>
      <c r="BS22" s="515"/>
      <c r="BT22" s="515"/>
      <c r="BU22" s="515"/>
      <c r="BV22" s="515"/>
      <c r="BW22" s="515">
        <v>3</v>
      </c>
      <c r="BX22" s="515"/>
      <c r="BY22" s="515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>
        <v>4</v>
      </c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</row>
    <row r="23" spans="1:109" ht="15" customHeight="1" x14ac:dyDescent="0.25">
      <c r="A23" s="508" t="s">
        <v>513</v>
      </c>
      <c r="B23" s="508"/>
      <c r="C23" s="508"/>
      <c r="D23" s="508"/>
      <c r="E23" s="508"/>
      <c r="F23" s="508"/>
      <c r="G23" s="254"/>
      <c r="H23" s="524" t="s">
        <v>530</v>
      </c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  <c r="BJ23" s="524"/>
      <c r="BK23" s="524"/>
      <c r="BL23" s="524"/>
      <c r="BM23" s="524"/>
      <c r="BN23" s="524"/>
      <c r="BO23" s="524"/>
      <c r="BP23" s="524"/>
      <c r="BQ23" s="524"/>
      <c r="BR23" s="524"/>
      <c r="BS23" s="524"/>
      <c r="BT23" s="524"/>
      <c r="BU23" s="524"/>
      <c r="BV23" s="525"/>
      <c r="BW23" s="510" t="s">
        <v>494</v>
      </c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0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0"/>
      <c r="CX23" s="510"/>
      <c r="CY23" s="510"/>
      <c r="CZ23" s="510"/>
      <c r="DA23" s="510"/>
    </row>
    <row r="24" spans="1:109" s="180" customFormat="1" ht="12.75" x14ac:dyDescent="0.2">
      <c r="A24" s="544" t="s">
        <v>531</v>
      </c>
      <c r="B24" s="545"/>
      <c r="C24" s="545"/>
      <c r="D24" s="545"/>
      <c r="E24" s="545"/>
      <c r="F24" s="546"/>
      <c r="G24" s="255"/>
      <c r="H24" s="550" t="s">
        <v>237</v>
      </c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0"/>
      <c r="BR24" s="550"/>
      <c r="BS24" s="550"/>
      <c r="BT24" s="550"/>
      <c r="BU24" s="550"/>
      <c r="BV24" s="551"/>
      <c r="BW24" s="565">
        <f>ФОТ!AC49-5071870.18-42548.71</f>
        <v>21879538.981280003</v>
      </c>
      <c r="BX24" s="566"/>
      <c r="BY24" s="566"/>
      <c r="BZ24" s="566"/>
      <c r="CA24" s="566"/>
      <c r="CB24" s="566"/>
      <c r="CC24" s="566"/>
      <c r="CD24" s="566"/>
      <c r="CE24" s="566"/>
      <c r="CF24" s="566"/>
      <c r="CG24" s="566"/>
      <c r="CH24" s="566"/>
      <c r="CI24" s="566"/>
      <c r="CJ24" s="566"/>
      <c r="CK24" s="566"/>
      <c r="CL24" s="567"/>
      <c r="CM24" s="552">
        <f>BW24*22%</f>
        <v>4813498.5758816004</v>
      </c>
      <c r="CN24" s="558"/>
      <c r="CO24" s="558"/>
      <c r="CP24" s="558"/>
      <c r="CQ24" s="558"/>
      <c r="CR24" s="558"/>
      <c r="CS24" s="558"/>
      <c r="CT24" s="558"/>
      <c r="CU24" s="558"/>
      <c r="CV24" s="558"/>
      <c r="CW24" s="558"/>
      <c r="CX24" s="558"/>
      <c r="CY24" s="558"/>
      <c r="CZ24" s="558"/>
      <c r="DA24" s="559"/>
    </row>
    <row r="25" spans="1:109" s="180" customFormat="1" ht="12.75" x14ac:dyDescent="0.2">
      <c r="A25" s="547"/>
      <c r="B25" s="548"/>
      <c r="C25" s="548"/>
      <c r="D25" s="548"/>
      <c r="E25" s="548"/>
      <c r="F25" s="549"/>
      <c r="G25" s="256"/>
      <c r="H25" s="563" t="s">
        <v>532</v>
      </c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  <c r="BG25" s="563"/>
      <c r="BH25" s="563"/>
      <c r="BI25" s="563"/>
      <c r="BJ25" s="563"/>
      <c r="BK25" s="563"/>
      <c r="BL25" s="563"/>
      <c r="BM25" s="563"/>
      <c r="BN25" s="563"/>
      <c r="BO25" s="563"/>
      <c r="BP25" s="563"/>
      <c r="BQ25" s="563"/>
      <c r="BR25" s="563"/>
      <c r="BS25" s="563"/>
      <c r="BT25" s="563"/>
      <c r="BU25" s="563"/>
      <c r="BV25" s="564"/>
      <c r="BW25" s="568"/>
      <c r="BX25" s="569"/>
      <c r="BY25" s="569"/>
      <c r="BZ25" s="569"/>
      <c r="CA25" s="569"/>
      <c r="CB25" s="569"/>
      <c r="CC25" s="569"/>
      <c r="CD25" s="569"/>
      <c r="CE25" s="569"/>
      <c r="CF25" s="569"/>
      <c r="CG25" s="569"/>
      <c r="CH25" s="569"/>
      <c r="CI25" s="569"/>
      <c r="CJ25" s="569"/>
      <c r="CK25" s="569"/>
      <c r="CL25" s="570"/>
      <c r="CM25" s="560"/>
      <c r="CN25" s="561"/>
      <c r="CO25" s="561"/>
      <c r="CP25" s="561"/>
      <c r="CQ25" s="561"/>
      <c r="CR25" s="561"/>
      <c r="CS25" s="561"/>
      <c r="CT25" s="561"/>
      <c r="CU25" s="561"/>
      <c r="CV25" s="561"/>
      <c r="CW25" s="561"/>
      <c r="CX25" s="561"/>
      <c r="CY25" s="561"/>
      <c r="CZ25" s="561"/>
      <c r="DA25" s="562"/>
      <c r="DE25" s="180">
        <v>211</v>
      </c>
    </row>
    <row r="26" spans="1:109" s="180" customFormat="1" ht="13.5" customHeight="1" x14ac:dyDescent="0.2">
      <c r="A26" s="508" t="s">
        <v>533</v>
      </c>
      <c r="B26" s="508"/>
      <c r="C26" s="508"/>
      <c r="D26" s="508"/>
      <c r="E26" s="508"/>
      <c r="F26" s="508"/>
      <c r="G26" s="254"/>
      <c r="H26" s="542" t="s">
        <v>534</v>
      </c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542"/>
      <c r="AW26" s="542"/>
      <c r="AX26" s="542"/>
      <c r="AY26" s="542"/>
      <c r="AZ26" s="542"/>
      <c r="BA26" s="542"/>
      <c r="BB26" s="542"/>
      <c r="BC26" s="542"/>
      <c r="BD26" s="542"/>
      <c r="BE26" s="542"/>
      <c r="BF26" s="542"/>
      <c r="BG26" s="542"/>
      <c r="BH26" s="542"/>
      <c r="BI26" s="542"/>
      <c r="BJ26" s="542"/>
      <c r="BK26" s="542"/>
      <c r="BL26" s="542"/>
      <c r="BM26" s="542"/>
      <c r="BN26" s="542"/>
      <c r="BO26" s="542"/>
      <c r="BP26" s="542"/>
      <c r="BQ26" s="542"/>
      <c r="BR26" s="542"/>
      <c r="BS26" s="542"/>
      <c r="BT26" s="542"/>
      <c r="BU26" s="542"/>
      <c r="BV26" s="543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0"/>
      <c r="CM26" s="510"/>
      <c r="CN26" s="510"/>
      <c r="CO26" s="510"/>
      <c r="CP26" s="510"/>
      <c r="CQ26" s="510"/>
      <c r="CR26" s="510"/>
      <c r="CS26" s="510"/>
      <c r="CT26" s="510"/>
      <c r="CU26" s="510"/>
      <c r="CV26" s="510"/>
      <c r="CW26" s="510"/>
      <c r="CX26" s="510"/>
      <c r="CY26" s="510"/>
      <c r="CZ26" s="510"/>
      <c r="DA26" s="510"/>
    </row>
    <row r="27" spans="1:109" s="180" customFormat="1" ht="26.25" customHeight="1" x14ac:dyDescent="0.2">
      <c r="A27" s="508" t="s">
        <v>535</v>
      </c>
      <c r="B27" s="508"/>
      <c r="C27" s="508"/>
      <c r="D27" s="508"/>
      <c r="E27" s="508"/>
      <c r="F27" s="508"/>
      <c r="G27" s="254"/>
      <c r="H27" s="542" t="s">
        <v>536</v>
      </c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  <c r="AY27" s="542"/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542"/>
      <c r="BM27" s="542"/>
      <c r="BN27" s="542"/>
      <c r="BO27" s="542"/>
      <c r="BP27" s="542"/>
      <c r="BQ27" s="542"/>
      <c r="BR27" s="542"/>
      <c r="BS27" s="542"/>
      <c r="BT27" s="542"/>
      <c r="BU27" s="542"/>
      <c r="BV27" s="543"/>
      <c r="BW27" s="510"/>
      <c r="BX27" s="510"/>
      <c r="BY27" s="510"/>
      <c r="BZ27" s="510"/>
      <c r="CA27" s="510"/>
      <c r="CB27" s="510"/>
      <c r="CC27" s="510"/>
      <c r="CD27" s="510"/>
      <c r="CE27" s="510"/>
      <c r="CF27" s="510"/>
      <c r="CG27" s="510"/>
      <c r="CH27" s="510"/>
      <c r="CI27" s="510"/>
      <c r="CJ27" s="510"/>
      <c r="CK27" s="510"/>
      <c r="CL27" s="510"/>
      <c r="CM27" s="510"/>
      <c r="CN27" s="510"/>
      <c r="CO27" s="510"/>
      <c r="CP27" s="510"/>
      <c r="CQ27" s="510"/>
      <c r="CR27" s="510"/>
      <c r="CS27" s="510"/>
      <c r="CT27" s="510"/>
      <c r="CU27" s="510"/>
      <c r="CV27" s="510"/>
      <c r="CW27" s="510"/>
      <c r="CX27" s="510"/>
      <c r="CY27" s="510"/>
      <c r="CZ27" s="510"/>
      <c r="DA27" s="510"/>
    </row>
    <row r="28" spans="1:109" s="180" customFormat="1" ht="26.25" customHeight="1" x14ac:dyDescent="0.2">
      <c r="A28" s="508" t="s">
        <v>515</v>
      </c>
      <c r="B28" s="508"/>
      <c r="C28" s="508"/>
      <c r="D28" s="508"/>
      <c r="E28" s="508"/>
      <c r="F28" s="508"/>
      <c r="G28" s="254"/>
      <c r="H28" s="524" t="s">
        <v>537</v>
      </c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4"/>
      <c r="AI28" s="524"/>
      <c r="AJ28" s="524"/>
      <c r="AK28" s="524"/>
      <c r="AL28" s="524"/>
      <c r="AM28" s="524"/>
      <c r="AN28" s="524"/>
      <c r="AO28" s="524"/>
      <c r="AP28" s="524"/>
      <c r="AQ28" s="524"/>
      <c r="AR28" s="524"/>
      <c r="AS28" s="524"/>
      <c r="AT28" s="524"/>
      <c r="AU28" s="524"/>
      <c r="AV28" s="524"/>
      <c r="AW28" s="524"/>
      <c r="AX28" s="524"/>
      <c r="AY28" s="524"/>
      <c r="AZ28" s="524"/>
      <c r="BA28" s="524"/>
      <c r="BB28" s="524"/>
      <c r="BC28" s="524"/>
      <c r="BD28" s="524"/>
      <c r="BE28" s="524"/>
      <c r="BF28" s="524"/>
      <c r="BG28" s="524"/>
      <c r="BH28" s="524"/>
      <c r="BI28" s="524"/>
      <c r="BJ28" s="524"/>
      <c r="BK28" s="524"/>
      <c r="BL28" s="524"/>
      <c r="BM28" s="524"/>
      <c r="BN28" s="524"/>
      <c r="BO28" s="524"/>
      <c r="BP28" s="524"/>
      <c r="BQ28" s="524"/>
      <c r="BR28" s="524"/>
      <c r="BS28" s="524"/>
      <c r="BT28" s="524"/>
      <c r="BU28" s="524"/>
      <c r="BV28" s="525"/>
      <c r="BW28" s="510" t="s">
        <v>494</v>
      </c>
      <c r="BX28" s="510"/>
      <c r="BY28" s="510"/>
      <c r="BZ28" s="510"/>
      <c r="CA28" s="510"/>
      <c r="CB28" s="510"/>
      <c r="CC28" s="510"/>
      <c r="CD28" s="510"/>
      <c r="CE28" s="510"/>
      <c r="CF28" s="510"/>
      <c r="CG28" s="510"/>
      <c r="CH28" s="510"/>
      <c r="CI28" s="510"/>
      <c r="CJ28" s="510"/>
      <c r="CK28" s="510"/>
      <c r="CL28" s="510"/>
      <c r="CM28" s="510"/>
      <c r="CN28" s="510"/>
      <c r="CO28" s="510"/>
      <c r="CP28" s="510"/>
      <c r="CQ28" s="510"/>
      <c r="CR28" s="510"/>
      <c r="CS28" s="510"/>
      <c r="CT28" s="510"/>
      <c r="CU28" s="510"/>
      <c r="CV28" s="510"/>
      <c r="CW28" s="510"/>
      <c r="CX28" s="510"/>
      <c r="CY28" s="510"/>
      <c r="CZ28" s="510"/>
      <c r="DA28" s="510"/>
    </row>
    <row r="29" spans="1:109" s="180" customFormat="1" ht="12.75" x14ac:dyDescent="0.2">
      <c r="A29" s="544" t="s">
        <v>538</v>
      </c>
      <c r="B29" s="545"/>
      <c r="C29" s="545"/>
      <c r="D29" s="545"/>
      <c r="E29" s="545"/>
      <c r="F29" s="546"/>
      <c r="G29" s="255"/>
      <c r="H29" s="550" t="s">
        <v>237</v>
      </c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550"/>
      <c r="BD29" s="550"/>
      <c r="BE29" s="550"/>
      <c r="BF29" s="550"/>
      <c r="BG29" s="550"/>
      <c r="BH29" s="550"/>
      <c r="BI29" s="550"/>
      <c r="BJ29" s="550"/>
      <c r="BK29" s="550"/>
      <c r="BL29" s="550"/>
      <c r="BM29" s="550"/>
      <c r="BN29" s="550"/>
      <c r="BO29" s="550"/>
      <c r="BP29" s="550"/>
      <c r="BQ29" s="550"/>
      <c r="BR29" s="550"/>
      <c r="BS29" s="550"/>
      <c r="BT29" s="550"/>
      <c r="BU29" s="550"/>
      <c r="BV29" s="551"/>
      <c r="BW29" s="552">
        <f>BW24</f>
        <v>21879538.981280003</v>
      </c>
      <c r="BX29" s="553"/>
      <c r="BY29" s="553"/>
      <c r="BZ29" s="553"/>
      <c r="CA29" s="553"/>
      <c r="CB29" s="553"/>
      <c r="CC29" s="553"/>
      <c r="CD29" s="553"/>
      <c r="CE29" s="553"/>
      <c r="CF29" s="553"/>
      <c r="CG29" s="553"/>
      <c r="CH29" s="553"/>
      <c r="CI29" s="553"/>
      <c r="CJ29" s="553"/>
      <c r="CK29" s="553"/>
      <c r="CL29" s="554"/>
      <c r="CM29" s="552">
        <f>BW29*2.9%</f>
        <v>634506.63045712002</v>
      </c>
      <c r="CN29" s="558"/>
      <c r="CO29" s="558"/>
      <c r="CP29" s="558"/>
      <c r="CQ29" s="558"/>
      <c r="CR29" s="558"/>
      <c r="CS29" s="558"/>
      <c r="CT29" s="558"/>
      <c r="CU29" s="558"/>
      <c r="CV29" s="558"/>
      <c r="CW29" s="558"/>
      <c r="CX29" s="558"/>
      <c r="CY29" s="558"/>
      <c r="CZ29" s="558"/>
      <c r="DA29" s="559"/>
    </row>
    <row r="30" spans="1:109" s="180" customFormat="1" ht="25.5" customHeight="1" x14ac:dyDescent="0.2">
      <c r="A30" s="547"/>
      <c r="B30" s="548"/>
      <c r="C30" s="548"/>
      <c r="D30" s="548"/>
      <c r="E30" s="548"/>
      <c r="F30" s="549"/>
      <c r="G30" s="256"/>
      <c r="H30" s="563" t="s">
        <v>539</v>
      </c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  <c r="BH30" s="563"/>
      <c r="BI30" s="563"/>
      <c r="BJ30" s="563"/>
      <c r="BK30" s="563"/>
      <c r="BL30" s="563"/>
      <c r="BM30" s="563"/>
      <c r="BN30" s="563"/>
      <c r="BO30" s="563"/>
      <c r="BP30" s="563"/>
      <c r="BQ30" s="563"/>
      <c r="BR30" s="563"/>
      <c r="BS30" s="563"/>
      <c r="BT30" s="563"/>
      <c r="BU30" s="563"/>
      <c r="BV30" s="564"/>
      <c r="BW30" s="555"/>
      <c r="BX30" s="556"/>
      <c r="BY30" s="556"/>
      <c r="BZ30" s="556"/>
      <c r="CA30" s="556"/>
      <c r="CB30" s="556"/>
      <c r="CC30" s="556"/>
      <c r="CD30" s="556"/>
      <c r="CE30" s="556"/>
      <c r="CF30" s="556"/>
      <c r="CG30" s="556"/>
      <c r="CH30" s="556"/>
      <c r="CI30" s="556"/>
      <c r="CJ30" s="556"/>
      <c r="CK30" s="556"/>
      <c r="CL30" s="557"/>
      <c r="CM30" s="560"/>
      <c r="CN30" s="561"/>
      <c r="CO30" s="561"/>
      <c r="CP30" s="561"/>
      <c r="CQ30" s="561"/>
      <c r="CR30" s="561"/>
      <c r="CS30" s="561"/>
      <c r="CT30" s="561"/>
      <c r="CU30" s="561"/>
      <c r="CV30" s="561"/>
      <c r="CW30" s="561"/>
      <c r="CX30" s="561"/>
      <c r="CY30" s="561"/>
      <c r="CZ30" s="561"/>
      <c r="DA30" s="562"/>
    </row>
    <row r="31" spans="1:109" s="180" customFormat="1" ht="26.25" customHeight="1" x14ac:dyDescent="0.2">
      <c r="A31" s="508" t="s">
        <v>540</v>
      </c>
      <c r="B31" s="508"/>
      <c r="C31" s="508"/>
      <c r="D31" s="508"/>
      <c r="E31" s="508"/>
      <c r="F31" s="508"/>
      <c r="G31" s="254"/>
      <c r="H31" s="542" t="s">
        <v>541</v>
      </c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2"/>
      <c r="AO31" s="542"/>
      <c r="AP31" s="542"/>
      <c r="AQ31" s="542"/>
      <c r="AR31" s="542"/>
      <c r="AS31" s="542"/>
      <c r="AT31" s="542"/>
      <c r="AU31" s="542"/>
      <c r="AV31" s="542"/>
      <c r="AW31" s="542"/>
      <c r="AX31" s="542"/>
      <c r="AY31" s="542"/>
      <c r="AZ31" s="542"/>
      <c r="BA31" s="542"/>
      <c r="BB31" s="542"/>
      <c r="BC31" s="542"/>
      <c r="BD31" s="542"/>
      <c r="BE31" s="542"/>
      <c r="BF31" s="542"/>
      <c r="BG31" s="542"/>
      <c r="BH31" s="542"/>
      <c r="BI31" s="542"/>
      <c r="BJ31" s="542"/>
      <c r="BK31" s="542"/>
      <c r="BL31" s="542"/>
      <c r="BM31" s="542"/>
      <c r="BN31" s="542"/>
      <c r="BO31" s="542"/>
      <c r="BP31" s="542"/>
      <c r="BQ31" s="542"/>
      <c r="BR31" s="542"/>
      <c r="BS31" s="542"/>
      <c r="BT31" s="542"/>
      <c r="BU31" s="542"/>
      <c r="BV31" s="543"/>
      <c r="BW31" s="510"/>
      <c r="BX31" s="510"/>
      <c r="BY31" s="510"/>
      <c r="BZ31" s="510"/>
      <c r="CA31" s="510"/>
      <c r="CB31" s="510"/>
      <c r="CC31" s="510"/>
      <c r="CD31" s="510"/>
      <c r="CE31" s="510"/>
      <c r="CF31" s="510"/>
      <c r="CG31" s="510"/>
      <c r="CH31" s="510"/>
      <c r="CI31" s="510"/>
      <c r="CJ31" s="510"/>
      <c r="CK31" s="510"/>
      <c r="CL31" s="510"/>
      <c r="CM31" s="510"/>
      <c r="CN31" s="510"/>
      <c r="CO31" s="510"/>
      <c r="CP31" s="510"/>
      <c r="CQ31" s="510"/>
      <c r="CR31" s="510"/>
      <c r="CS31" s="510"/>
      <c r="CT31" s="510"/>
      <c r="CU31" s="510"/>
      <c r="CV31" s="510"/>
      <c r="CW31" s="510"/>
      <c r="CX31" s="510"/>
      <c r="CY31" s="510"/>
      <c r="CZ31" s="510"/>
      <c r="DA31" s="510"/>
    </row>
    <row r="32" spans="1:109" s="180" customFormat="1" ht="27" customHeight="1" x14ac:dyDescent="0.2">
      <c r="A32" s="508" t="s">
        <v>542</v>
      </c>
      <c r="B32" s="508"/>
      <c r="C32" s="508"/>
      <c r="D32" s="508"/>
      <c r="E32" s="508"/>
      <c r="F32" s="508"/>
      <c r="G32" s="254"/>
      <c r="H32" s="542" t="s">
        <v>543</v>
      </c>
      <c r="I32" s="542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2"/>
      <c r="BI32" s="542"/>
      <c r="BJ32" s="542"/>
      <c r="BK32" s="542"/>
      <c r="BL32" s="542"/>
      <c r="BM32" s="542"/>
      <c r="BN32" s="542"/>
      <c r="BO32" s="542"/>
      <c r="BP32" s="542"/>
      <c r="BQ32" s="542"/>
      <c r="BR32" s="542"/>
      <c r="BS32" s="542"/>
      <c r="BT32" s="542"/>
      <c r="BU32" s="542"/>
      <c r="BV32" s="543"/>
      <c r="BW32" s="511">
        <f>BW24</f>
        <v>21879538.981280003</v>
      </c>
      <c r="BX32" s="510"/>
      <c r="BY32" s="510"/>
      <c r="BZ32" s="510"/>
      <c r="CA32" s="510"/>
      <c r="CB32" s="510"/>
      <c r="CC32" s="510"/>
      <c r="CD32" s="510"/>
      <c r="CE32" s="510"/>
      <c r="CF32" s="510"/>
      <c r="CG32" s="510"/>
      <c r="CH32" s="510"/>
      <c r="CI32" s="510"/>
      <c r="CJ32" s="510"/>
      <c r="CK32" s="510"/>
      <c r="CL32" s="510"/>
      <c r="CM32" s="511">
        <f>BW32*0.2%</f>
        <v>43759.077962560004</v>
      </c>
      <c r="CN32" s="511"/>
      <c r="CO32" s="511"/>
      <c r="CP32" s="511"/>
      <c r="CQ32" s="511"/>
      <c r="CR32" s="511"/>
      <c r="CS32" s="511"/>
      <c r="CT32" s="511"/>
      <c r="CU32" s="511"/>
      <c r="CV32" s="511"/>
      <c r="CW32" s="511"/>
      <c r="CX32" s="511"/>
      <c r="CY32" s="511"/>
      <c r="CZ32" s="511"/>
      <c r="DA32" s="511"/>
    </row>
    <row r="33" spans="1:109" s="180" customFormat="1" ht="27" customHeight="1" x14ac:dyDescent="0.2">
      <c r="A33" s="508" t="s">
        <v>544</v>
      </c>
      <c r="B33" s="508"/>
      <c r="C33" s="508"/>
      <c r="D33" s="508"/>
      <c r="E33" s="508"/>
      <c r="F33" s="508"/>
      <c r="G33" s="254"/>
      <c r="H33" s="542" t="s">
        <v>545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2"/>
      <c r="AZ33" s="542"/>
      <c r="BA33" s="542"/>
      <c r="BB33" s="542"/>
      <c r="BC33" s="542"/>
      <c r="BD33" s="542"/>
      <c r="BE33" s="542"/>
      <c r="BF33" s="542"/>
      <c r="BG33" s="542"/>
      <c r="BH33" s="542"/>
      <c r="BI33" s="542"/>
      <c r="BJ33" s="542"/>
      <c r="BK33" s="542"/>
      <c r="BL33" s="542"/>
      <c r="BM33" s="542"/>
      <c r="BN33" s="542"/>
      <c r="BO33" s="542"/>
      <c r="BP33" s="542"/>
      <c r="BQ33" s="542"/>
      <c r="BR33" s="542"/>
      <c r="BS33" s="542"/>
      <c r="BT33" s="542"/>
      <c r="BU33" s="542"/>
      <c r="BV33" s="543"/>
      <c r="BW33" s="510"/>
      <c r="BX33" s="510"/>
      <c r="BY33" s="510"/>
      <c r="BZ33" s="510"/>
      <c r="CA33" s="510"/>
      <c r="CB33" s="510"/>
      <c r="CC33" s="510"/>
      <c r="CD33" s="510"/>
      <c r="CE33" s="510"/>
      <c r="CF33" s="510"/>
      <c r="CG33" s="510"/>
      <c r="CH33" s="510"/>
      <c r="CI33" s="510"/>
      <c r="CJ33" s="510"/>
      <c r="CK33" s="510"/>
      <c r="CL33" s="510"/>
      <c r="CM33" s="510"/>
      <c r="CN33" s="510"/>
      <c r="CO33" s="510"/>
      <c r="CP33" s="510"/>
      <c r="CQ33" s="510"/>
      <c r="CR33" s="510"/>
      <c r="CS33" s="510"/>
      <c r="CT33" s="510"/>
      <c r="CU33" s="510"/>
      <c r="CV33" s="510"/>
      <c r="CW33" s="510"/>
      <c r="CX33" s="510"/>
      <c r="CY33" s="510"/>
      <c r="CZ33" s="510"/>
      <c r="DA33" s="510"/>
    </row>
    <row r="34" spans="1:109" s="180" customFormat="1" ht="27" customHeight="1" x14ac:dyDescent="0.2">
      <c r="A34" s="508" t="s">
        <v>546</v>
      </c>
      <c r="B34" s="508"/>
      <c r="C34" s="508"/>
      <c r="D34" s="508"/>
      <c r="E34" s="508"/>
      <c r="F34" s="508"/>
      <c r="G34" s="254"/>
      <c r="H34" s="542" t="s">
        <v>545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2"/>
      <c r="AZ34" s="542"/>
      <c r="BA34" s="542"/>
      <c r="BB34" s="542"/>
      <c r="BC34" s="542"/>
      <c r="BD34" s="542"/>
      <c r="BE34" s="542"/>
      <c r="BF34" s="542"/>
      <c r="BG34" s="542"/>
      <c r="BH34" s="542"/>
      <c r="BI34" s="542"/>
      <c r="BJ34" s="542"/>
      <c r="BK34" s="542"/>
      <c r="BL34" s="542"/>
      <c r="BM34" s="542"/>
      <c r="BN34" s="542"/>
      <c r="BO34" s="542"/>
      <c r="BP34" s="542"/>
      <c r="BQ34" s="542"/>
      <c r="BR34" s="542"/>
      <c r="BS34" s="542"/>
      <c r="BT34" s="542"/>
      <c r="BU34" s="542"/>
      <c r="BV34" s="543"/>
      <c r="BW34" s="510"/>
      <c r="BX34" s="510"/>
      <c r="BY34" s="510"/>
      <c r="BZ34" s="510"/>
      <c r="CA34" s="510"/>
      <c r="CB34" s="510"/>
      <c r="CC34" s="510"/>
      <c r="CD34" s="510"/>
      <c r="CE34" s="510"/>
      <c r="CF34" s="510"/>
      <c r="CG34" s="510"/>
      <c r="CH34" s="510"/>
      <c r="CI34" s="510"/>
      <c r="CJ34" s="510"/>
      <c r="CK34" s="510"/>
      <c r="CL34" s="510"/>
      <c r="CM34" s="510"/>
      <c r="CN34" s="510"/>
      <c r="CO34" s="510"/>
      <c r="CP34" s="510"/>
      <c r="CQ34" s="510"/>
      <c r="CR34" s="510"/>
      <c r="CS34" s="510"/>
      <c r="CT34" s="510"/>
      <c r="CU34" s="510"/>
      <c r="CV34" s="510"/>
      <c r="CW34" s="510"/>
      <c r="CX34" s="510"/>
      <c r="CY34" s="510"/>
      <c r="CZ34" s="510"/>
      <c r="DA34" s="510"/>
    </row>
    <row r="35" spans="1:109" s="180" customFormat="1" ht="26.25" customHeight="1" x14ac:dyDescent="0.2">
      <c r="A35" s="508" t="s">
        <v>517</v>
      </c>
      <c r="B35" s="508"/>
      <c r="C35" s="508"/>
      <c r="D35" s="508"/>
      <c r="E35" s="508"/>
      <c r="F35" s="508"/>
      <c r="G35" s="254"/>
      <c r="H35" s="524" t="s">
        <v>547</v>
      </c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24"/>
      <c r="BH35" s="524"/>
      <c r="BI35" s="524"/>
      <c r="BJ35" s="524"/>
      <c r="BK35" s="524"/>
      <c r="BL35" s="524"/>
      <c r="BM35" s="524"/>
      <c r="BN35" s="524"/>
      <c r="BO35" s="524"/>
      <c r="BP35" s="524"/>
      <c r="BQ35" s="524"/>
      <c r="BR35" s="524"/>
      <c r="BS35" s="524"/>
      <c r="BT35" s="524"/>
      <c r="BU35" s="524"/>
      <c r="BV35" s="525"/>
      <c r="BW35" s="537">
        <f>BW24</f>
        <v>21879538.981280003</v>
      </c>
      <c r="BX35" s="538"/>
      <c r="BY35" s="538"/>
      <c r="BZ35" s="538"/>
      <c r="CA35" s="538"/>
      <c r="CB35" s="538"/>
      <c r="CC35" s="538"/>
      <c r="CD35" s="538"/>
      <c r="CE35" s="538"/>
      <c r="CF35" s="538"/>
      <c r="CG35" s="538"/>
      <c r="CH35" s="538"/>
      <c r="CI35" s="538"/>
      <c r="CJ35" s="538"/>
      <c r="CK35" s="538"/>
      <c r="CL35" s="538"/>
      <c r="CM35" s="537">
        <f>BW35*5.1%</f>
        <v>1115856.4880452801</v>
      </c>
      <c r="CN35" s="537"/>
      <c r="CO35" s="537"/>
      <c r="CP35" s="537"/>
      <c r="CQ35" s="537"/>
      <c r="CR35" s="537"/>
      <c r="CS35" s="537"/>
      <c r="CT35" s="537"/>
      <c r="CU35" s="537"/>
      <c r="CV35" s="537"/>
      <c r="CW35" s="537"/>
      <c r="CX35" s="537"/>
      <c r="CY35" s="537"/>
      <c r="CZ35" s="537"/>
      <c r="DA35" s="537"/>
    </row>
    <row r="36" spans="1:109" s="180" customFormat="1" ht="13.5" customHeight="1" x14ac:dyDescent="0.2">
      <c r="A36" s="508"/>
      <c r="B36" s="508"/>
      <c r="C36" s="508"/>
      <c r="D36" s="508"/>
      <c r="E36" s="508"/>
      <c r="F36" s="508"/>
      <c r="G36" s="539" t="s">
        <v>521</v>
      </c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2"/>
      <c r="BA36" s="512"/>
      <c r="BB36" s="512"/>
      <c r="BC36" s="512"/>
      <c r="BD36" s="512"/>
      <c r="BE36" s="512"/>
      <c r="BF36" s="512"/>
      <c r="BG36" s="512"/>
      <c r="BH36" s="512"/>
      <c r="BI36" s="512"/>
      <c r="BJ36" s="512"/>
      <c r="BK36" s="512"/>
      <c r="BL36" s="512"/>
      <c r="BM36" s="512"/>
      <c r="BN36" s="512"/>
      <c r="BO36" s="512"/>
      <c r="BP36" s="512"/>
      <c r="BQ36" s="512"/>
      <c r="BR36" s="512"/>
      <c r="BS36" s="512"/>
      <c r="BT36" s="512"/>
      <c r="BU36" s="512"/>
      <c r="BV36" s="513"/>
      <c r="BW36" s="538" t="s">
        <v>494</v>
      </c>
      <c r="BX36" s="538"/>
      <c r="BY36" s="538"/>
      <c r="BZ36" s="538"/>
      <c r="CA36" s="538"/>
      <c r="CB36" s="538"/>
      <c r="CC36" s="538"/>
      <c r="CD36" s="538"/>
      <c r="CE36" s="538"/>
      <c r="CF36" s="538"/>
      <c r="CG36" s="538"/>
      <c r="CH36" s="538"/>
      <c r="CI36" s="538"/>
      <c r="CJ36" s="538"/>
      <c r="CK36" s="538"/>
      <c r="CL36" s="538"/>
      <c r="CM36" s="540">
        <f>SUM(CM24:DA35)-0.07</f>
        <v>6607620.7023465596</v>
      </c>
      <c r="CN36" s="541"/>
      <c r="CO36" s="541"/>
      <c r="CP36" s="541"/>
      <c r="CQ36" s="541"/>
      <c r="CR36" s="541"/>
      <c r="CS36" s="541"/>
      <c r="CT36" s="541"/>
      <c r="CU36" s="541"/>
      <c r="CV36" s="541"/>
      <c r="CW36" s="541"/>
      <c r="CX36" s="541"/>
      <c r="CY36" s="541"/>
      <c r="CZ36" s="541"/>
      <c r="DA36" s="541"/>
      <c r="DE36" s="180">
        <v>213</v>
      </c>
    </row>
    <row r="37" spans="1:109" ht="3" customHeight="1" x14ac:dyDescent="0.25"/>
    <row r="38" spans="1:109" s="180" customFormat="1" ht="12" customHeight="1" x14ac:dyDescent="0.2"/>
    <row r="39" spans="1:109" s="248" customFormat="1" ht="14.25" x14ac:dyDescent="0.2">
      <c r="A39" s="527" t="s">
        <v>548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  <c r="BI39" s="527"/>
      <c r="BJ39" s="527"/>
      <c r="BK39" s="527"/>
      <c r="BL39" s="527"/>
      <c r="BM39" s="527"/>
      <c r="BN39" s="527"/>
      <c r="BO39" s="527"/>
      <c r="BP39" s="527"/>
      <c r="BQ39" s="527"/>
      <c r="BR39" s="527"/>
      <c r="BS39" s="527"/>
      <c r="BT39" s="527"/>
      <c r="BU39" s="527"/>
      <c r="BV39" s="527"/>
      <c r="BW39" s="527"/>
      <c r="BX39" s="527"/>
      <c r="BY39" s="527"/>
      <c r="BZ39" s="527"/>
      <c r="CA39" s="527"/>
      <c r="CB39" s="527"/>
      <c r="CC39" s="527"/>
      <c r="CD39" s="527"/>
      <c r="CE39" s="527"/>
      <c r="CF39" s="527"/>
      <c r="CG39" s="527"/>
      <c r="CH39" s="527"/>
      <c r="CI39" s="527"/>
      <c r="CJ39" s="527"/>
      <c r="CK39" s="527"/>
      <c r="CL39" s="527"/>
      <c r="CM39" s="527"/>
      <c r="CN39" s="527"/>
      <c r="CO39" s="527"/>
      <c r="CP39" s="527"/>
      <c r="CQ39" s="527"/>
      <c r="CR39" s="527"/>
      <c r="CS39" s="527"/>
      <c r="CT39" s="527"/>
      <c r="CU39" s="527"/>
      <c r="CV39" s="527"/>
      <c r="CW39" s="527"/>
      <c r="CX39" s="527"/>
      <c r="CY39" s="527"/>
      <c r="CZ39" s="527"/>
      <c r="DA39" s="527"/>
      <c r="DE39" s="253"/>
    </row>
    <row r="40" spans="1:109" ht="6" customHeight="1" x14ac:dyDescent="0.25">
      <c r="DE40" s="249"/>
    </row>
    <row r="41" spans="1:109" ht="10.5" customHeight="1" x14ac:dyDescent="0.25">
      <c r="DE41" s="250"/>
    </row>
    <row r="42" spans="1:109" s="251" customFormat="1" ht="55.5" customHeight="1" x14ac:dyDescent="0.25">
      <c r="A42" s="520" t="s">
        <v>176</v>
      </c>
      <c r="B42" s="521"/>
      <c r="C42" s="521"/>
      <c r="D42" s="521"/>
      <c r="E42" s="521"/>
      <c r="F42" s="521"/>
      <c r="G42" s="522"/>
      <c r="H42" s="520" t="s">
        <v>549</v>
      </c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1"/>
      <c r="AL42" s="521"/>
      <c r="AM42" s="521"/>
      <c r="AN42" s="521"/>
      <c r="AO42" s="521"/>
      <c r="AP42" s="521"/>
      <c r="AQ42" s="521"/>
      <c r="AR42" s="521"/>
      <c r="AS42" s="521"/>
      <c r="AT42" s="521"/>
      <c r="AU42" s="521"/>
      <c r="AV42" s="521"/>
      <c r="AW42" s="521"/>
      <c r="AX42" s="521"/>
      <c r="AY42" s="521"/>
      <c r="AZ42" s="521"/>
      <c r="BA42" s="521"/>
      <c r="BB42" s="521"/>
      <c r="BC42" s="522"/>
      <c r="BD42" s="520" t="s">
        <v>550</v>
      </c>
      <c r="BE42" s="521"/>
      <c r="BF42" s="521"/>
      <c r="BG42" s="521"/>
      <c r="BH42" s="521"/>
      <c r="BI42" s="521"/>
      <c r="BJ42" s="521"/>
      <c r="BK42" s="521"/>
      <c r="BL42" s="521"/>
      <c r="BM42" s="521"/>
      <c r="BN42" s="521"/>
      <c r="BO42" s="521"/>
      <c r="BP42" s="521"/>
      <c r="BQ42" s="521"/>
      <c r="BR42" s="521"/>
      <c r="BS42" s="522"/>
      <c r="BT42" s="520" t="s">
        <v>551</v>
      </c>
      <c r="BU42" s="521"/>
      <c r="BV42" s="521"/>
      <c r="BW42" s="521"/>
      <c r="BX42" s="521"/>
      <c r="BY42" s="521"/>
      <c r="BZ42" s="521"/>
      <c r="CA42" s="521"/>
      <c r="CB42" s="521"/>
      <c r="CC42" s="521"/>
      <c r="CD42" s="522"/>
      <c r="CE42" s="520" t="s">
        <v>552</v>
      </c>
      <c r="CF42" s="521"/>
      <c r="CG42" s="521"/>
      <c r="CH42" s="521"/>
      <c r="CI42" s="521"/>
      <c r="CJ42" s="521"/>
      <c r="CK42" s="521"/>
      <c r="CL42" s="521"/>
      <c r="CM42" s="521"/>
      <c r="CN42" s="521"/>
      <c r="CO42" s="521"/>
      <c r="CP42" s="521"/>
      <c r="CQ42" s="521"/>
      <c r="CR42" s="521"/>
      <c r="CS42" s="521"/>
      <c r="CT42" s="521"/>
      <c r="CU42" s="521"/>
      <c r="CV42" s="521"/>
      <c r="CW42" s="521"/>
      <c r="CX42" s="521"/>
      <c r="CY42" s="521"/>
      <c r="CZ42" s="521"/>
      <c r="DA42" s="522"/>
      <c r="DE42" s="250"/>
    </row>
    <row r="43" spans="1:109" s="187" customFormat="1" ht="12.75" x14ac:dyDescent="0.25">
      <c r="A43" s="515">
        <v>1</v>
      </c>
      <c r="B43" s="515"/>
      <c r="C43" s="515"/>
      <c r="D43" s="515"/>
      <c r="E43" s="515"/>
      <c r="F43" s="515"/>
      <c r="G43" s="515"/>
      <c r="H43" s="515">
        <v>2</v>
      </c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  <c r="AA43" s="515"/>
      <c r="AB43" s="515"/>
      <c r="AC43" s="515"/>
      <c r="AD43" s="515"/>
      <c r="AE43" s="515"/>
      <c r="AF43" s="515"/>
      <c r="AG43" s="515"/>
      <c r="AH43" s="515"/>
      <c r="AI43" s="515"/>
      <c r="AJ43" s="515"/>
      <c r="AK43" s="515"/>
      <c r="AL43" s="515"/>
      <c r="AM43" s="515"/>
      <c r="AN43" s="515"/>
      <c r="AO43" s="515"/>
      <c r="AP43" s="515"/>
      <c r="AQ43" s="515"/>
      <c r="AR43" s="515"/>
      <c r="AS43" s="515"/>
      <c r="AT43" s="515"/>
      <c r="AU43" s="515"/>
      <c r="AV43" s="515"/>
      <c r="AW43" s="515"/>
      <c r="AX43" s="515"/>
      <c r="AY43" s="515"/>
      <c r="AZ43" s="515"/>
      <c r="BA43" s="515"/>
      <c r="BB43" s="515"/>
      <c r="BC43" s="515"/>
      <c r="BD43" s="515">
        <v>3</v>
      </c>
      <c r="BE43" s="515"/>
      <c r="BF43" s="515"/>
      <c r="BG43" s="515"/>
      <c r="BH43" s="515"/>
      <c r="BI43" s="515"/>
      <c r="BJ43" s="515"/>
      <c r="BK43" s="515"/>
      <c r="BL43" s="515"/>
      <c r="BM43" s="515"/>
      <c r="BN43" s="515"/>
      <c r="BO43" s="515"/>
      <c r="BP43" s="515"/>
      <c r="BQ43" s="515"/>
      <c r="BR43" s="515"/>
      <c r="BS43" s="515"/>
      <c r="BT43" s="515">
        <v>4</v>
      </c>
      <c r="BU43" s="515"/>
      <c r="BV43" s="515"/>
      <c r="BW43" s="515"/>
      <c r="BX43" s="515"/>
      <c r="BY43" s="515"/>
      <c r="BZ43" s="515"/>
      <c r="CA43" s="515"/>
      <c r="CB43" s="515"/>
      <c r="CC43" s="515"/>
      <c r="CD43" s="515"/>
      <c r="CE43" s="515">
        <v>5</v>
      </c>
      <c r="CF43" s="515"/>
      <c r="CG43" s="515"/>
      <c r="CH43" s="515"/>
      <c r="CI43" s="515"/>
      <c r="CJ43" s="515"/>
      <c r="CK43" s="515"/>
      <c r="CL43" s="515"/>
      <c r="CM43" s="515"/>
      <c r="CN43" s="515"/>
      <c r="CO43" s="515"/>
      <c r="CP43" s="515"/>
      <c r="CQ43" s="515"/>
      <c r="CR43" s="515"/>
      <c r="CS43" s="515"/>
      <c r="CT43" s="515"/>
      <c r="CU43" s="515"/>
      <c r="CV43" s="515"/>
      <c r="CW43" s="515"/>
      <c r="CX43" s="515"/>
      <c r="CY43" s="515"/>
      <c r="CZ43" s="515"/>
      <c r="DA43" s="515"/>
      <c r="DE43" s="250"/>
    </row>
    <row r="44" spans="1:109" s="250" customFormat="1" ht="15" customHeight="1" x14ac:dyDescent="0.25">
      <c r="A44" s="508" t="s">
        <v>370</v>
      </c>
      <c r="B44" s="508"/>
      <c r="C44" s="508"/>
      <c r="D44" s="508"/>
      <c r="E44" s="508"/>
      <c r="F44" s="508"/>
      <c r="G44" s="508"/>
      <c r="H44" s="509" t="s">
        <v>181</v>
      </c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  <c r="Z44" s="509"/>
      <c r="AA44" s="509"/>
      <c r="AB44" s="509"/>
      <c r="AC44" s="509"/>
      <c r="AD44" s="509"/>
      <c r="AE44" s="509"/>
      <c r="AF44" s="509"/>
      <c r="AG44" s="509"/>
      <c r="AH44" s="509"/>
      <c r="AI44" s="509"/>
      <c r="AJ44" s="509"/>
      <c r="AK44" s="509"/>
      <c r="AL44" s="509"/>
      <c r="AM44" s="509"/>
      <c r="AN44" s="509"/>
      <c r="AO44" s="509"/>
      <c r="AP44" s="509"/>
      <c r="AQ44" s="509"/>
      <c r="AR44" s="509"/>
      <c r="AS44" s="509"/>
      <c r="AT44" s="509"/>
      <c r="AU44" s="509"/>
      <c r="AV44" s="509"/>
      <c r="AW44" s="509"/>
      <c r="AX44" s="509"/>
      <c r="AY44" s="509"/>
      <c r="AZ44" s="509"/>
      <c r="BA44" s="509"/>
      <c r="BB44" s="509"/>
      <c r="BC44" s="509"/>
      <c r="BD44" s="528"/>
      <c r="BE44" s="529"/>
      <c r="BF44" s="529"/>
      <c r="BG44" s="529"/>
      <c r="BH44" s="529"/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10">
        <v>1.5</v>
      </c>
      <c r="BU44" s="510"/>
      <c r="BV44" s="510"/>
      <c r="BW44" s="510"/>
      <c r="BX44" s="510"/>
      <c r="BY44" s="510"/>
      <c r="BZ44" s="510"/>
      <c r="CA44" s="510"/>
      <c r="CB44" s="510"/>
      <c r="CC44" s="510"/>
      <c r="CD44" s="510"/>
      <c r="CE44" s="511">
        <f>'земельный налог'!D6</f>
        <v>234984</v>
      </c>
      <c r="CF44" s="511"/>
      <c r="CG44" s="511"/>
      <c r="CH44" s="511"/>
      <c r="CI44" s="511"/>
      <c r="CJ44" s="511"/>
      <c r="CK44" s="511"/>
      <c r="CL44" s="511"/>
      <c r="CM44" s="511"/>
      <c r="CN44" s="511"/>
      <c r="CO44" s="511"/>
      <c r="CP44" s="511"/>
      <c r="CQ44" s="511"/>
      <c r="CR44" s="511"/>
      <c r="CS44" s="511"/>
      <c r="CT44" s="511"/>
      <c r="CU44" s="511"/>
      <c r="CV44" s="511"/>
      <c r="CW44" s="511"/>
      <c r="CX44" s="511"/>
      <c r="CY44" s="511"/>
      <c r="CZ44" s="511"/>
      <c r="DA44" s="511"/>
      <c r="DE44" s="250">
        <v>291</v>
      </c>
    </row>
    <row r="45" spans="1:109" s="250" customFormat="1" ht="15" customHeight="1" x14ac:dyDescent="0.2">
      <c r="A45" s="508" t="s">
        <v>377</v>
      </c>
      <c r="B45" s="508"/>
      <c r="C45" s="508"/>
      <c r="D45" s="508"/>
      <c r="E45" s="508"/>
      <c r="F45" s="508"/>
      <c r="G45" s="508"/>
      <c r="H45" s="509" t="s">
        <v>182</v>
      </c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509"/>
      <c r="AI45" s="509"/>
      <c r="AJ45" s="509"/>
      <c r="AK45" s="509"/>
      <c r="AL45" s="509"/>
      <c r="AM45" s="509"/>
      <c r="AN45" s="509"/>
      <c r="AO45" s="509"/>
      <c r="AP45" s="509"/>
      <c r="AQ45" s="509"/>
      <c r="AR45" s="509"/>
      <c r="AS45" s="509"/>
      <c r="AT45" s="509"/>
      <c r="AU45" s="509"/>
      <c r="AV45" s="509"/>
      <c r="AW45" s="509"/>
      <c r="AX45" s="509"/>
      <c r="AY45" s="509"/>
      <c r="AZ45" s="509"/>
      <c r="BA45" s="509"/>
      <c r="BB45" s="509"/>
      <c r="BC45" s="509"/>
      <c r="BD45" s="511">
        <v>169346730.61000001</v>
      </c>
      <c r="BE45" s="511"/>
      <c r="BF45" s="511"/>
      <c r="BG45" s="511"/>
      <c r="BH45" s="511"/>
      <c r="BI45" s="511"/>
      <c r="BJ45" s="511"/>
      <c r="BK45" s="511"/>
      <c r="BL45" s="511"/>
      <c r="BM45" s="511"/>
      <c r="BN45" s="511"/>
      <c r="BO45" s="511"/>
      <c r="BP45" s="511"/>
      <c r="BQ45" s="511"/>
      <c r="BR45" s="511"/>
      <c r="BS45" s="511"/>
      <c r="BT45" s="510">
        <v>2.2000000000000002</v>
      </c>
      <c r="BU45" s="510"/>
      <c r="BV45" s="510"/>
      <c r="BW45" s="510"/>
      <c r="BX45" s="510"/>
      <c r="BY45" s="510"/>
      <c r="BZ45" s="510"/>
      <c r="CA45" s="510"/>
      <c r="CB45" s="510"/>
      <c r="CC45" s="510"/>
      <c r="CD45" s="510"/>
      <c r="CE45" s="511">
        <f>'налог на имущество'!C8</f>
        <v>5344031.1320000002</v>
      </c>
      <c r="CF45" s="511"/>
      <c r="CG45" s="511"/>
      <c r="CH45" s="511"/>
      <c r="CI45" s="511"/>
      <c r="CJ45" s="511"/>
      <c r="CK45" s="511"/>
      <c r="CL45" s="511"/>
      <c r="CM45" s="511"/>
      <c r="CN45" s="511"/>
      <c r="CO45" s="511"/>
      <c r="CP45" s="511"/>
      <c r="CQ45" s="511"/>
      <c r="CR45" s="511"/>
      <c r="CS45" s="511"/>
      <c r="CT45" s="511"/>
      <c r="CU45" s="511"/>
      <c r="CV45" s="511"/>
      <c r="CW45" s="511"/>
      <c r="CX45" s="511"/>
      <c r="CY45" s="511"/>
      <c r="CZ45" s="511"/>
      <c r="DA45" s="511"/>
      <c r="DE45" s="180" t="s">
        <v>553</v>
      </c>
    </row>
    <row r="46" spans="1:109" s="250" customFormat="1" ht="15" customHeight="1" x14ac:dyDescent="0.2">
      <c r="A46" s="508" t="s">
        <v>377</v>
      </c>
      <c r="B46" s="508"/>
      <c r="C46" s="508"/>
      <c r="D46" s="508"/>
      <c r="E46" s="508"/>
      <c r="F46" s="508"/>
      <c r="G46" s="508"/>
      <c r="H46" s="509" t="s">
        <v>554</v>
      </c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09"/>
      <c r="AI46" s="509"/>
      <c r="AJ46" s="509"/>
      <c r="AK46" s="509"/>
      <c r="AL46" s="509"/>
      <c r="AM46" s="509"/>
      <c r="AN46" s="509"/>
      <c r="AO46" s="509"/>
      <c r="AP46" s="509"/>
      <c r="AQ46" s="509"/>
      <c r="AR46" s="509"/>
      <c r="AS46" s="509"/>
      <c r="AT46" s="509"/>
      <c r="AU46" s="509"/>
      <c r="AV46" s="509"/>
      <c r="AW46" s="509"/>
      <c r="AX46" s="509"/>
      <c r="AY46" s="509"/>
      <c r="AZ46" s="509"/>
      <c r="BA46" s="509"/>
      <c r="BB46" s="509"/>
      <c r="BC46" s="509"/>
      <c r="BD46" s="511">
        <v>0</v>
      </c>
      <c r="BE46" s="511"/>
      <c r="BF46" s="511"/>
      <c r="BG46" s="511"/>
      <c r="BH46" s="511"/>
      <c r="BI46" s="511"/>
      <c r="BJ46" s="511"/>
      <c r="BK46" s="511"/>
      <c r="BL46" s="511"/>
      <c r="BM46" s="511"/>
      <c r="BN46" s="511"/>
      <c r="BO46" s="511"/>
      <c r="BP46" s="511"/>
      <c r="BQ46" s="511"/>
      <c r="BR46" s="511"/>
      <c r="BS46" s="511"/>
      <c r="BT46" s="510">
        <v>0</v>
      </c>
      <c r="BU46" s="510"/>
      <c r="BV46" s="510"/>
      <c r="BW46" s="510"/>
      <c r="BX46" s="510"/>
      <c r="BY46" s="510"/>
      <c r="BZ46" s="510"/>
      <c r="CA46" s="510"/>
      <c r="CB46" s="510"/>
      <c r="CC46" s="510"/>
      <c r="CD46" s="510"/>
      <c r="CE46" s="511">
        <v>136900</v>
      </c>
      <c r="CF46" s="511"/>
      <c r="CG46" s="511"/>
      <c r="CH46" s="511"/>
      <c r="CI46" s="511"/>
      <c r="CJ46" s="511"/>
      <c r="CK46" s="511"/>
      <c r="CL46" s="511"/>
      <c r="CM46" s="511"/>
      <c r="CN46" s="511"/>
      <c r="CO46" s="511"/>
      <c r="CP46" s="511"/>
      <c r="CQ46" s="511"/>
      <c r="CR46" s="511"/>
      <c r="CS46" s="511"/>
      <c r="CT46" s="511"/>
      <c r="CU46" s="511"/>
      <c r="CV46" s="511"/>
      <c r="CW46" s="511"/>
      <c r="CX46" s="511"/>
      <c r="CY46" s="511"/>
      <c r="CZ46" s="511"/>
      <c r="DA46" s="511"/>
      <c r="DE46" s="180"/>
    </row>
    <row r="47" spans="1:109" s="250" customFormat="1" ht="15" customHeight="1" x14ac:dyDescent="0.2">
      <c r="A47" s="508"/>
      <c r="B47" s="508"/>
      <c r="C47" s="508"/>
      <c r="D47" s="508"/>
      <c r="E47" s="508"/>
      <c r="F47" s="508"/>
      <c r="G47" s="508"/>
      <c r="H47" s="512" t="s">
        <v>521</v>
      </c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2"/>
      <c r="AP47" s="512"/>
      <c r="AQ47" s="512"/>
      <c r="AR47" s="512"/>
      <c r="AS47" s="512"/>
      <c r="AT47" s="512"/>
      <c r="AU47" s="512"/>
      <c r="AV47" s="512"/>
      <c r="AW47" s="512"/>
      <c r="AX47" s="512"/>
      <c r="AY47" s="512"/>
      <c r="AZ47" s="512"/>
      <c r="BA47" s="512"/>
      <c r="BB47" s="512"/>
      <c r="BC47" s="513"/>
      <c r="BD47" s="510"/>
      <c r="BE47" s="510"/>
      <c r="BF47" s="510"/>
      <c r="BG47" s="510"/>
      <c r="BH47" s="510"/>
      <c r="BI47" s="510"/>
      <c r="BJ47" s="510"/>
      <c r="BK47" s="510"/>
      <c r="BL47" s="510"/>
      <c r="BM47" s="510"/>
      <c r="BN47" s="510"/>
      <c r="BO47" s="510"/>
      <c r="BP47" s="510"/>
      <c r="BQ47" s="510"/>
      <c r="BR47" s="510"/>
      <c r="BS47" s="510"/>
      <c r="BT47" s="510" t="s">
        <v>494</v>
      </c>
      <c r="BU47" s="510"/>
      <c r="BV47" s="510"/>
      <c r="BW47" s="510"/>
      <c r="BX47" s="510"/>
      <c r="BY47" s="510"/>
      <c r="BZ47" s="510"/>
      <c r="CA47" s="510"/>
      <c r="CB47" s="510"/>
      <c r="CC47" s="510"/>
      <c r="CD47" s="510"/>
      <c r="CE47" s="514">
        <f>CE44+CE45+CE46</f>
        <v>5715915.1320000002</v>
      </c>
      <c r="CF47" s="526"/>
      <c r="CG47" s="526"/>
      <c r="CH47" s="526"/>
      <c r="CI47" s="526"/>
      <c r="CJ47" s="526"/>
      <c r="CK47" s="526"/>
      <c r="CL47" s="526"/>
      <c r="CM47" s="526"/>
      <c r="CN47" s="526"/>
      <c r="CO47" s="526"/>
      <c r="CP47" s="526"/>
      <c r="CQ47" s="526"/>
      <c r="CR47" s="526"/>
      <c r="CS47" s="526"/>
      <c r="CT47" s="526"/>
      <c r="CU47" s="526"/>
      <c r="CV47" s="526"/>
      <c r="CW47" s="526"/>
      <c r="CX47" s="526"/>
      <c r="CY47" s="526"/>
      <c r="CZ47" s="526"/>
      <c r="DA47" s="526"/>
      <c r="DE47" s="180">
        <v>290</v>
      </c>
    </row>
    <row r="48" spans="1:109" ht="13.5" customHeight="1" x14ac:dyDescent="0.25"/>
    <row r="51" spans="1:110" s="248" customFormat="1" ht="14.25" x14ac:dyDescent="0.2">
      <c r="A51" s="527" t="s">
        <v>555</v>
      </c>
      <c r="B51" s="527"/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7"/>
      <c r="BA51" s="527"/>
      <c r="BB51" s="527"/>
      <c r="BC51" s="527"/>
      <c r="BD51" s="527"/>
      <c r="BE51" s="527"/>
      <c r="BF51" s="527"/>
      <c r="BG51" s="527"/>
      <c r="BH51" s="527"/>
      <c r="BI51" s="527"/>
      <c r="BJ51" s="527"/>
      <c r="BK51" s="527"/>
      <c r="BL51" s="527"/>
      <c r="BM51" s="527"/>
      <c r="BN51" s="527"/>
      <c r="BO51" s="527"/>
      <c r="BP51" s="527"/>
      <c r="BQ51" s="527"/>
      <c r="BR51" s="527"/>
      <c r="BS51" s="527"/>
      <c r="BT51" s="527"/>
      <c r="BU51" s="527"/>
      <c r="BV51" s="527"/>
      <c r="BW51" s="527"/>
      <c r="BX51" s="527"/>
      <c r="BY51" s="527"/>
      <c r="BZ51" s="527"/>
      <c r="CA51" s="527"/>
      <c r="CB51" s="527"/>
      <c r="CC51" s="527"/>
      <c r="CD51" s="527"/>
      <c r="CE51" s="527"/>
      <c r="CF51" s="527"/>
      <c r="CG51" s="527"/>
      <c r="CH51" s="527"/>
      <c r="CI51" s="527"/>
      <c r="CJ51" s="527"/>
      <c r="CK51" s="527"/>
      <c r="CL51" s="527"/>
      <c r="CM51" s="527"/>
      <c r="CN51" s="527"/>
      <c r="CO51" s="527"/>
      <c r="CP51" s="527"/>
      <c r="CQ51" s="527"/>
      <c r="CR51" s="527"/>
      <c r="CS51" s="527"/>
      <c r="CT51" s="527"/>
      <c r="CU51" s="527"/>
      <c r="CV51" s="527"/>
      <c r="CW51" s="527"/>
      <c r="CX51" s="527"/>
      <c r="CY51" s="527"/>
      <c r="CZ51" s="527"/>
      <c r="DA51" s="527"/>
      <c r="DE51" s="252"/>
    </row>
    <row r="52" spans="1:110" ht="6" customHeight="1" x14ac:dyDescent="0.25"/>
    <row r="53" spans="1:110" ht="10.5" customHeight="1" x14ac:dyDescent="0.25">
      <c r="DE53" s="253"/>
    </row>
    <row r="54" spans="1:110" s="248" customFormat="1" ht="14.25" x14ac:dyDescent="0.2">
      <c r="A54" s="527" t="s">
        <v>556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/>
      <c r="AB54" s="527"/>
      <c r="AC54" s="527"/>
      <c r="AD54" s="527"/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7"/>
      <c r="AP54" s="527"/>
      <c r="AQ54" s="527"/>
      <c r="AR54" s="527"/>
      <c r="AS54" s="527"/>
      <c r="AT54" s="527"/>
      <c r="AU54" s="527"/>
      <c r="AV54" s="527"/>
      <c r="AW54" s="527"/>
      <c r="AX54" s="527"/>
      <c r="AY54" s="527"/>
      <c r="AZ54" s="527"/>
      <c r="BA54" s="527"/>
      <c r="BB54" s="527"/>
      <c r="BC54" s="527"/>
      <c r="BD54" s="527"/>
      <c r="BE54" s="527"/>
      <c r="BF54" s="527"/>
      <c r="BG54" s="527"/>
      <c r="BH54" s="527"/>
      <c r="BI54" s="527"/>
      <c r="BJ54" s="527"/>
      <c r="BK54" s="527"/>
      <c r="BL54" s="527"/>
      <c r="BM54" s="527"/>
      <c r="BN54" s="527"/>
      <c r="BO54" s="527"/>
      <c r="BP54" s="527"/>
      <c r="BQ54" s="527"/>
      <c r="BR54" s="527"/>
      <c r="BS54" s="527"/>
      <c r="BT54" s="527"/>
      <c r="BU54" s="527"/>
      <c r="BV54" s="527"/>
      <c r="BW54" s="527"/>
      <c r="BX54" s="527"/>
      <c r="BY54" s="527"/>
      <c r="BZ54" s="527"/>
      <c r="CA54" s="527"/>
      <c r="CB54" s="527"/>
      <c r="CC54" s="527"/>
      <c r="CD54" s="527"/>
      <c r="CE54" s="527"/>
      <c r="CF54" s="527"/>
      <c r="CG54" s="527"/>
      <c r="CH54" s="527"/>
      <c r="CI54" s="527"/>
      <c r="CJ54" s="527"/>
      <c r="CK54" s="527"/>
      <c r="CL54" s="527"/>
      <c r="CM54" s="527"/>
      <c r="CN54" s="527"/>
      <c r="CO54" s="527"/>
      <c r="CP54" s="527"/>
      <c r="CQ54" s="527"/>
      <c r="CR54" s="527"/>
      <c r="CS54" s="527"/>
      <c r="CT54" s="527"/>
      <c r="CU54" s="527"/>
      <c r="CV54" s="527"/>
      <c r="CW54" s="527"/>
      <c r="CX54" s="527"/>
      <c r="CY54" s="527"/>
      <c r="CZ54" s="527"/>
      <c r="DA54" s="527"/>
      <c r="DE54" s="249"/>
    </row>
    <row r="55" spans="1:110" ht="10.5" customHeight="1" x14ac:dyDescent="0.25">
      <c r="DE55" s="250"/>
    </row>
    <row r="56" spans="1:110" s="251" customFormat="1" ht="45" customHeight="1" x14ac:dyDescent="0.25">
      <c r="A56" s="534" t="s">
        <v>176</v>
      </c>
      <c r="B56" s="535"/>
      <c r="C56" s="535"/>
      <c r="D56" s="535"/>
      <c r="E56" s="535"/>
      <c r="F56" s="535"/>
      <c r="G56" s="536"/>
      <c r="H56" s="534" t="s">
        <v>549</v>
      </c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  <c r="AF56" s="535"/>
      <c r="AG56" s="535"/>
      <c r="AH56" s="535"/>
      <c r="AI56" s="535"/>
      <c r="AJ56" s="535"/>
      <c r="AK56" s="535"/>
      <c r="AL56" s="535"/>
      <c r="AM56" s="535"/>
      <c r="AN56" s="535"/>
      <c r="AO56" s="536"/>
      <c r="AP56" s="534" t="s">
        <v>557</v>
      </c>
      <c r="AQ56" s="535"/>
      <c r="AR56" s="535"/>
      <c r="AS56" s="535"/>
      <c r="AT56" s="535"/>
      <c r="AU56" s="535"/>
      <c r="AV56" s="535"/>
      <c r="AW56" s="535"/>
      <c r="AX56" s="535"/>
      <c r="AY56" s="535"/>
      <c r="AZ56" s="535"/>
      <c r="BA56" s="535"/>
      <c r="BB56" s="535"/>
      <c r="BC56" s="535"/>
      <c r="BD56" s="535"/>
      <c r="BE56" s="536"/>
      <c r="BF56" s="534" t="s">
        <v>558</v>
      </c>
      <c r="BG56" s="535"/>
      <c r="BH56" s="535"/>
      <c r="BI56" s="535"/>
      <c r="BJ56" s="535"/>
      <c r="BK56" s="535"/>
      <c r="BL56" s="535"/>
      <c r="BM56" s="535"/>
      <c r="BN56" s="535"/>
      <c r="BO56" s="535"/>
      <c r="BP56" s="535"/>
      <c r="BQ56" s="535"/>
      <c r="BR56" s="535"/>
      <c r="BS56" s="535"/>
      <c r="BT56" s="535"/>
      <c r="BU56" s="536"/>
      <c r="BV56" s="534" t="s">
        <v>559</v>
      </c>
      <c r="BW56" s="535"/>
      <c r="BX56" s="535"/>
      <c r="BY56" s="535"/>
      <c r="BZ56" s="535"/>
      <c r="CA56" s="535"/>
      <c r="CB56" s="535"/>
      <c r="CC56" s="535"/>
      <c r="CD56" s="535"/>
      <c r="CE56" s="535"/>
      <c r="CF56" s="535"/>
      <c r="CG56" s="535"/>
      <c r="CH56" s="535"/>
      <c r="CI56" s="535"/>
      <c r="CJ56" s="535"/>
      <c r="CK56" s="536"/>
      <c r="CL56" s="534" t="s">
        <v>512</v>
      </c>
      <c r="CM56" s="535"/>
      <c r="CN56" s="535"/>
      <c r="CO56" s="535"/>
      <c r="CP56" s="535"/>
      <c r="CQ56" s="535"/>
      <c r="CR56" s="535"/>
      <c r="CS56" s="535"/>
      <c r="CT56" s="535"/>
      <c r="CU56" s="535"/>
      <c r="CV56" s="535"/>
      <c r="CW56" s="535"/>
      <c r="CX56" s="535"/>
      <c r="CY56" s="535"/>
      <c r="CZ56" s="535"/>
      <c r="DA56" s="536"/>
      <c r="DE56" s="250"/>
    </row>
    <row r="57" spans="1:110" s="187" customFormat="1" ht="12.75" x14ac:dyDescent="0.25">
      <c r="A57" s="515">
        <v>1</v>
      </c>
      <c r="B57" s="515"/>
      <c r="C57" s="515"/>
      <c r="D57" s="515"/>
      <c r="E57" s="515"/>
      <c r="F57" s="515"/>
      <c r="G57" s="515"/>
      <c r="H57" s="515">
        <v>2</v>
      </c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>
        <v>3</v>
      </c>
      <c r="AQ57" s="515"/>
      <c r="AR57" s="515"/>
      <c r="AS57" s="515"/>
      <c r="AT57" s="515"/>
      <c r="AU57" s="515"/>
      <c r="AV57" s="515"/>
      <c r="AW57" s="515"/>
      <c r="AX57" s="515"/>
      <c r="AY57" s="515"/>
      <c r="AZ57" s="515"/>
      <c r="BA57" s="515"/>
      <c r="BB57" s="515"/>
      <c r="BC57" s="515"/>
      <c r="BD57" s="515"/>
      <c r="BE57" s="515"/>
      <c r="BF57" s="515">
        <v>4</v>
      </c>
      <c r="BG57" s="515"/>
      <c r="BH57" s="515"/>
      <c r="BI57" s="515"/>
      <c r="BJ57" s="515"/>
      <c r="BK57" s="515"/>
      <c r="BL57" s="515"/>
      <c r="BM57" s="515"/>
      <c r="BN57" s="515"/>
      <c r="BO57" s="515"/>
      <c r="BP57" s="515"/>
      <c r="BQ57" s="515"/>
      <c r="BR57" s="515"/>
      <c r="BS57" s="515"/>
      <c r="BT57" s="515"/>
      <c r="BU57" s="515"/>
      <c r="BV57" s="515">
        <v>5</v>
      </c>
      <c r="BW57" s="515"/>
      <c r="BX57" s="515"/>
      <c r="BY57" s="515"/>
      <c r="BZ57" s="515"/>
      <c r="CA57" s="515"/>
      <c r="CB57" s="515"/>
      <c r="CC57" s="515"/>
      <c r="CD57" s="515"/>
      <c r="CE57" s="515"/>
      <c r="CF57" s="515"/>
      <c r="CG57" s="515"/>
      <c r="CH57" s="515"/>
      <c r="CI57" s="515"/>
      <c r="CJ57" s="515"/>
      <c r="CK57" s="515"/>
      <c r="CL57" s="515">
        <v>6</v>
      </c>
      <c r="CM57" s="515"/>
      <c r="CN57" s="515"/>
      <c r="CO57" s="515"/>
      <c r="CP57" s="515"/>
      <c r="CQ57" s="515"/>
      <c r="CR57" s="515"/>
      <c r="CS57" s="515"/>
      <c r="CT57" s="515"/>
      <c r="CU57" s="515"/>
      <c r="CV57" s="515"/>
      <c r="CW57" s="515"/>
      <c r="CX57" s="515"/>
      <c r="CY57" s="515"/>
      <c r="CZ57" s="515"/>
      <c r="DA57" s="515"/>
      <c r="DE57" s="250"/>
    </row>
    <row r="58" spans="1:110" s="250" customFormat="1" ht="23.25" customHeight="1" x14ac:dyDescent="0.25">
      <c r="A58" s="508" t="s">
        <v>370</v>
      </c>
      <c r="B58" s="508"/>
      <c r="C58" s="508"/>
      <c r="D58" s="508"/>
      <c r="E58" s="508"/>
      <c r="F58" s="508"/>
      <c r="G58" s="508"/>
      <c r="H58" s="509" t="s">
        <v>560</v>
      </c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/>
      <c r="AA58" s="509"/>
      <c r="AB58" s="509"/>
      <c r="AC58" s="509"/>
      <c r="AD58" s="509"/>
      <c r="AE58" s="509"/>
      <c r="AF58" s="509"/>
      <c r="AG58" s="509"/>
      <c r="AH58" s="509"/>
      <c r="AI58" s="509"/>
      <c r="AJ58" s="509"/>
      <c r="AK58" s="509"/>
      <c r="AL58" s="509"/>
      <c r="AM58" s="509"/>
      <c r="AN58" s="509"/>
      <c r="AO58" s="509"/>
      <c r="AP58" s="510">
        <v>3</v>
      </c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>
        <v>12</v>
      </c>
      <c r="BG58" s="510"/>
      <c r="BH58" s="510"/>
      <c r="BI58" s="510"/>
      <c r="BJ58" s="510"/>
      <c r="BK58" s="510"/>
      <c r="BL58" s="510"/>
      <c r="BM58" s="510"/>
      <c r="BN58" s="510"/>
      <c r="BO58" s="510"/>
      <c r="BP58" s="510"/>
      <c r="BQ58" s="510"/>
      <c r="BR58" s="510"/>
      <c r="BS58" s="510"/>
      <c r="BT58" s="510"/>
      <c r="BU58" s="510"/>
      <c r="BV58" s="510">
        <v>259.33</v>
      </c>
      <c r="BW58" s="510"/>
      <c r="BX58" s="510"/>
      <c r="BY58" s="510"/>
      <c r="BZ58" s="510"/>
      <c r="CA58" s="510"/>
      <c r="CB58" s="510"/>
      <c r="CC58" s="510"/>
      <c r="CD58" s="510"/>
      <c r="CE58" s="510"/>
      <c r="CF58" s="510"/>
      <c r="CG58" s="510"/>
      <c r="CH58" s="510"/>
      <c r="CI58" s="510"/>
      <c r="CJ58" s="510"/>
      <c r="CK58" s="510"/>
      <c r="CL58" s="511">
        <f>'Связь 221'!P5</f>
        <v>236409.82</v>
      </c>
      <c r="CM58" s="511"/>
      <c r="CN58" s="511"/>
      <c r="CO58" s="511"/>
      <c r="CP58" s="511"/>
      <c r="CQ58" s="511"/>
      <c r="CR58" s="511"/>
      <c r="CS58" s="511"/>
      <c r="CT58" s="511"/>
      <c r="CU58" s="511"/>
      <c r="CV58" s="511"/>
      <c r="CW58" s="511"/>
      <c r="CX58" s="511"/>
      <c r="CY58" s="511"/>
      <c r="CZ58" s="511"/>
      <c r="DA58" s="511"/>
      <c r="DF58" s="257"/>
    </row>
    <row r="59" spans="1:110" s="250" customFormat="1" ht="15" hidden="1" customHeight="1" x14ac:dyDescent="0.2">
      <c r="A59" s="508" t="s">
        <v>377</v>
      </c>
      <c r="B59" s="508"/>
      <c r="C59" s="508"/>
      <c r="D59" s="508"/>
      <c r="E59" s="508"/>
      <c r="F59" s="508"/>
      <c r="G59" s="508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/>
      <c r="AA59" s="509"/>
      <c r="AB59" s="509"/>
      <c r="AC59" s="509"/>
      <c r="AD59" s="509"/>
      <c r="AE59" s="509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10">
        <v>1</v>
      </c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0"/>
      <c r="BD59" s="510"/>
      <c r="BE59" s="510"/>
      <c r="BF59" s="510">
        <v>1</v>
      </c>
      <c r="BG59" s="510"/>
      <c r="BH59" s="510"/>
      <c r="BI59" s="510"/>
      <c r="BJ59" s="510"/>
      <c r="BK59" s="510"/>
      <c r="BL59" s="510"/>
      <c r="BM59" s="510"/>
      <c r="BN59" s="510"/>
      <c r="BO59" s="510"/>
      <c r="BP59" s="510"/>
      <c r="BQ59" s="510"/>
      <c r="BR59" s="510"/>
      <c r="BS59" s="510"/>
      <c r="BT59" s="510"/>
      <c r="BU59" s="510"/>
      <c r="BV59" s="510">
        <v>1</v>
      </c>
      <c r="BW59" s="510"/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510"/>
      <c r="CI59" s="510"/>
      <c r="CJ59" s="510"/>
      <c r="CK59" s="510"/>
      <c r="CL59" s="511">
        <v>0</v>
      </c>
      <c r="CM59" s="511"/>
      <c r="CN59" s="511"/>
      <c r="CO59" s="511"/>
      <c r="CP59" s="511"/>
      <c r="CQ59" s="511"/>
      <c r="CR59" s="511"/>
      <c r="CS59" s="511"/>
      <c r="CT59" s="511"/>
      <c r="CU59" s="511"/>
      <c r="CV59" s="511"/>
      <c r="CW59" s="511"/>
      <c r="CX59" s="511"/>
      <c r="CY59" s="511"/>
      <c r="CZ59" s="511"/>
      <c r="DA59" s="511"/>
      <c r="DE59" s="252"/>
    </row>
    <row r="60" spans="1:110" s="250" customFormat="1" ht="15" customHeight="1" x14ac:dyDescent="0.2">
      <c r="A60" s="508"/>
      <c r="B60" s="508"/>
      <c r="C60" s="508"/>
      <c r="D60" s="508"/>
      <c r="E60" s="508"/>
      <c r="F60" s="508"/>
      <c r="G60" s="508"/>
      <c r="H60" s="531" t="s">
        <v>561</v>
      </c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32"/>
      <c r="AH60" s="532"/>
      <c r="AI60" s="532"/>
      <c r="AJ60" s="532"/>
      <c r="AK60" s="532"/>
      <c r="AL60" s="532"/>
      <c r="AM60" s="532"/>
      <c r="AN60" s="532"/>
      <c r="AO60" s="533"/>
      <c r="AP60" s="510" t="s">
        <v>494</v>
      </c>
      <c r="AQ60" s="510"/>
      <c r="AR60" s="510"/>
      <c r="AS60" s="510"/>
      <c r="AT60" s="510"/>
      <c r="AU60" s="510"/>
      <c r="AV60" s="510"/>
      <c r="AW60" s="510"/>
      <c r="AX60" s="510"/>
      <c r="AY60" s="510"/>
      <c r="AZ60" s="510"/>
      <c r="BA60" s="510"/>
      <c r="BB60" s="510"/>
      <c r="BC60" s="510"/>
      <c r="BD60" s="510"/>
      <c r="BE60" s="510"/>
      <c r="BF60" s="510" t="s">
        <v>494</v>
      </c>
      <c r="BG60" s="510"/>
      <c r="BH60" s="510"/>
      <c r="BI60" s="510"/>
      <c r="BJ60" s="510"/>
      <c r="BK60" s="510"/>
      <c r="BL60" s="510"/>
      <c r="BM60" s="510"/>
      <c r="BN60" s="510"/>
      <c r="BO60" s="510"/>
      <c r="BP60" s="510"/>
      <c r="BQ60" s="510"/>
      <c r="BR60" s="510"/>
      <c r="BS60" s="510"/>
      <c r="BT60" s="510"/>
      <c r="BU60" s="510"/>
      <c r="BV60" s="510" t="s">
        <v>494</v>
      </c>
      <c r="BW60" s="510"/>
      <c r="BX60" s="510"/>
      <c r="BY60" s="510"/>
      <c r="BZ60" s="510"/>
      <c r="CA60" s="510"/>
      <c r="CB60" s="510"/>
      <c r="CC60" s="510"/>
      <c r="CD60" s="510"/>
      <c r="CE60" s="510"/>
      <c r="CF60" s="510"/>
      <c r="CG60" s="510"/>
      <c r="CH60" s="510"/>
      <c r="CI60" s="510"/>
      <c r="CJ60" s="510"/>
      <c r="CK60" s="510"/>
      <c r="CL60" s="514">
        <f>CL58+CL59</f>
        <v>236409.82</v>
      </c>
      <c r="CM60" s="514"/>
      <c r="CN60" s="514"/>
      <c r="CO60" s="514"/>
      <c r="CP60" s="514"/>
      <c r="CQ60" s="514"/>
      <c r="CR60" s="514"/>
      <c r="CS60" s="514"/>
      <c r="CT60" s="514"/>
      <c r="CU60" s="514"/>
      <c r="CV60" s="514"/>
      <c r="CW60" s="514"/>
      <c r="CX60" s="514"/>
      <c r="CY60" s="514"/>
      <c r="CZ60" s="514"/>
      <c r="DA60" s="514"/>
      <c r="DE60" s="180">
        <v>221</v>
      </c>
      <c r="DF60" s="257"/>
    </row>
    <row r="61" spans="1:110" ht="17.25" customHeight="1" x14ac:dyDescent="0.25">
      <c r="DE61" s="253"/>
      <c r="DF61" s="258"/>
    </row>
    <row r="62" spans="1:110" s="248" customFormat="1" ht="14.25" x14ac:dyDescent="0.2">
      <c r="A62" s="527" t="s">
        <v>562</v>
      </c>
      <c r="B62" s="527"/>
      <c r="C62" s="527"/>
      <c r="D62" s="527"/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  <c r="T62" s="527"/>
      <c r="U62" s="527"/>
      <c r="V62" s="527"/>
      <c r="W62" s="527"/>
      <c r="X62" s="527"/>
      <c r="Y62" s="527"/>
      <c r="Z62" s="527"/>
      <c r="AA62" s="527"/>
      <c r="AB62" s="527"/>
      <c r="AC62" s="527"/>
      <c r="AD62" s="527"/>
      <c r="AE62" s="527"/>
      <c r="AF62" s="527"/>
      <c r="AG62" s="527"/>
      <c r="AH62" s="527"/>
      <c r="AI62" s="527"/>
      <c r="AJ62" s="527"/>
      <c r="AK62" s="527"/>
      <c r="AL62" s="527"/>
      <c r="AM62" s="527"/>
      <c r="AN62" s="527"/>
      <c r="AO62" s="527"/>
      <c r="AP62" s="527"/>
      <c r="AQ62" s="527"/>
      <c r="AR62" s="527"/>
      <c r="AS62" s="527"/>
      <c r="AT62" s="527"/>
      <c r="AU62" s="527"/>
      <c r="AV62" s="527"/>
      <c r="AW62" s="527"/>
      <c r="AX62" s="527"/>
      <c r="AY62" s="527"/>
      <c r="AZ62" s="527"/>
      <c r="BA62" s="527"/>
      <c r="BB62" s="527"/>
      <c r="BC62" s="527"/>
      <c r="BD62" s="527"/>
      <c r="BE62" s="527"/>
      <c r="BF62" s="527"/>
      <c r="BG62" s="527"/>
      <c r="BH62" s="527"/>
      <c r="BI62" s="527"/>
      <c r="BJ62" s="527"/>
      <c r="BK62" s="527"/>
      <c r="BL62" s="527"/>
      <c r="BM62" s="527"/>
      <c r="BN62" s="527"/>
      <c r="BO62" s="527"/>
      <c r="BP62" s="527"/>
      <c r="BQ62" s="527"/>
      <c r="BR62" s="527"/>
      <c r="BS62" s="527"/>
      <c r="BT62" s="527"/>
      <c r="BU62" s="527"/>
      <c r="BV62" s="527"/>
      <c r="BW62" s="527"/>
      <c r="BX62" s="527"/>
      <c r="BY62" s="527"/>
      <c r="BZ62" s="527"/>
      <c r="CA62" s="527"/>
      <c r="CB62" s="527"/>
      <c r="CC62" s="527"/>
      <c r="CD62" s="527"/>
      <c r="CE62" s="527"/>
      <c r="CF62" s="527"/>
      <c r="CG62" s="527"/>
      <c r="CH62" s="527"/>
      <c r="CI62" s="527"/>
      <c r="CJ62" s="527"/>
      <c r="CK62" s="527"/>
      <c r="CL62" s="527"/>
      <c r="CM62" s="527"/>
      <c r="CN62" s="527"/>
      <c r="CO62" s="527"/>
      <c r="CP62" s="527"/>
      <c r="CQ62" s="527"/>
      <c r="CR62" s="527"/>
      <c r="CS62" s="527"/>
      <c r="CT62" s="527"/>
      <c r="CU62" s="527"/>
      <c r="CV62" s="527"/>
      <c r="CW62" s="527"/>
      <c r="CX62" s="527"/>
      <c r="CY62" s="527"/>
      <c r="CZ62" s="527"/>
      <c r="DA62" s="527"/>
      <c r="DE62" s="249"/>
    </row>
    <row r="63" spans="1:110" ht="10.5" customHeight="1" x14ac:dyDescent="0.25">
      <c r="DE63" s="250"/>
    </row>
    <row r="64" spans="1:110" s="251" customFormat="1" ht="45" customHeight="1" x14ac:dyDescent="0.25">
      <c r="A64" s="520" t="s">
        <v>176</v>
      </c>
      <c r="B64" s="521"/>
      <c r="C64" s="521"/>
      <c r="D64" s="521"/>
      <c r="E64" s="521"/>
      <c r="F64" s="521"/>
      <c r="G64" s="522"/>
      <c r="H64" s="520" t="s">
        <v>549</v>
      </c>
      <c r="I64" s="521"/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521"/>
      <c r="AM64" s="521"/>
      <c r="AN64" s="521"/>
      <c r="AO64" s="521"/>
      <c r="AP64" s="521"/>
      <c r="AQ64" s="521"/>
      <c r="AR64" s="521"/>
      <c r="AS64" s="521"/>
      <c r="AT64" s="521"/>
      <c r="AU64" s="521"/>
      <c r="AV64" s="521"/>
      <c r="AW64" s="521"/>
      <c r="AX64" s="521"/>
      <c r="AY64" s="521"/>
      <c r="AZ64" s="521"/>
      <c r="BA64" s="521"/>
      <c r="BB64" s="521"/>
      <c r="BC64" s="522"/>
      <c r="BD64" s="520" t="s">
        <v>563</v>
      </c>
      <c r="BE64" s="521"/>
      <c r="BF64" s="521"/>
      <c r="BG64" s="521"/>
      <c r="BH64" s="521"/>
      <c r="BI64" s="521"/>
      <c r="BJ64" s="521"/>
      <c r="BK64" s="521"/>
      <c r="BL64" s="521"/>
      <c r="BM64" s="521"/>
      <c r="BN64" s="521"/>
      <c r="BO64" s="521"/>
      <c r="BP64" s="521"/>
      <c r="BQ64" s="521"/>
      <c r="BR64" s="521"/>
      <c r="BS64" s="522"/>
      <c r="BT64" s="520" t="s">
        <v>564</v>
      </c>
      <c r="BU64" s="521"/>
      <c r="BV64" s="521"/>
      <c r="BW64" s="521"/>
      <c r="BX64" s="521"/>
      <c r="BY64" s="521"/>
      <c r="BZ64" s="521"/>
      <c r="CA64" s="521"/>
      <c r="CB64" s="521"/>
      <c r="CC64" s="521"/>
      <c r="CD64" s="521"/>
      <c r="CE64" s="521"/>
      <c r="CF64" s="521"/>
      <c r="CG64" s="521"/>
      <c r="CH64" s="521"/>
      <c r="CI64" s="522"/>
      <c r="CJ64" s="520" t="s">
        <v>565</v>
      </c>
      <c r="CK64" s="521"/>
      <c r="CL64" s="521"/>
      <c r="CM64" s="521"/>
      <c r="CN64" s="521"/>
      <c r="CO64" s="521"/>
      <c r="CP64" s="521"/>
      <c r="CQ64" s="521"/>
      <c r="CR64" s="521"/>
      <c r="CS64" s="521"/>
      <c r="CT64" s="521"/>
      <c r="CU64" s="521"/>
      <c r="CV64" s="521"/>
      <c r="CW64" s="521"/>
      <c r="CX64" s="521"/>
      <c r="CY64" s="521"/>
      <c r="CZ64" s="521"/>
      <c r="DA64" s="522"/>
      <c r="DE64" s="250"/>
    </row>
    <row r="65" spans="1:109" s="187" customFormat="1" ht="12.75" x14ac:dyDescent="0.25">
      <c r="A65" s="515">
        <v>1</v>
      </c>
      <c r="B65" s="515"/>
      <c r="C65" s="515"/>
      <c r="D65" s="515"/>
      <c r="E65" s="515"/>
      <c r="F65" s="515"/>
      <c r="G65" s="515"/>
      <c r="H65" s="515">
        <v>2</v>
      </c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5"/>
      <c r="AH65" s="515"/>
      <c r="AI65" s="515"/>
      <c r="AJ65" s="515"/>
      <c r="AK65" s="515"/>
      <c r="AL65" s="515"/>
      <c r="AM65" s="515"/>
      <c r="AN65" s="515"/>
      <c r="AO65" s="515"/>
      <c r="AP65" s="515"/>
      <c r="AQ65" s="515"/>
      <c r="AR65" s="515"/>
      <c r="AS65" s="515"/>
      <c r="AT65" s="515"/>
      <c r="AU65" s="515"/>
      <c r="AV65" s="515"/>
      <c r="AW65" s="515"/>
      <c r="AX65" s="515"/>
      <c r="AY65" s="515"/>
      <c r="AZ65" s="515"/>
      <c r="BA65" s="515"/>
      <c r="BB65" s="515"/>
      <c r="BC65" s="515"/>
      <c r="BD65" s="515">
        <v>3</v>
      </c>
      <c r="BE65" s="515"/>
      <c r="BF65" s="515"/>
      <c r="BG65" s="515"/>
      <c r="BH65" s="515"/>
      <c r="BI65" s="515"/>
      <c r="BJ65" s="515"/>
      <c r="BK65" s="515"/>
      <c r="BL65" s="515"/>
      <c r="BM65" s="515"/>
      <c r="BN65" s="515"/>
      <c r="BO65" s="515"/>
      <c r="BP65" s="515"/>
      <c r="BQ65" s="515"/>
      <c r="BR65" s="515"/>
      <c r="BS65" s="515"/>
      <c r="BT65" s="515">
        <v>4</v>
      </c>
      <c r="BU65" s="515"/>
      <c r="BV65" s="515"/>
      <c r="BW65" s="515"/>
      <c r="BX65" s="515"/>
      <c r="BY65" s="515"/>
      <c r="BZ65" s="515"/>
      <c r="CA65" s="515"/>
      <c r="CB65" s="515"/>
      <c r="CC65" s="515"/>
      <c r="CD65" s="515"/>
      <c r="CE65" s="515"/>
      <c r="CF65" s="515"/>
      <c r="CG65" s="515"/>
      <c r="CH65" s="515"/>
      <c r="CI65" s="515"/>
      <c r="CJ65" s="515">
        <v>5</v>
      </c>
      <c r="CK65" s="515"/>
      <c r="CL65" s="515"/>
      <c r="CM65" s="515"/>
      <c r="CN65" s="515"/>
      <c r="CO65" s="515"/>
      <c r="CP65" s="515"/>
      <c r="CQ65" s="515"/>
      <c r="CR65" s="515"/>
      <c r="CS65" s="515"/>
      <c r="CT65" s="515"/>
      <c r="CU65" s="515"/>
      <c r="CV65" s="515"/>
      <c r="CW65" s="515"/>
      <c r="CX65" s="515"/>
      <c r="CY65" s="515"/>
      <c r="CZ65" s="515"/>
      <c r="DA65" s="515"/>
      <c r="DE65" s="250"/>
    </row>
    <row r="66" spans="1:109" s="250" customFormat="1" ht="15" customHeight="1" x14ac:dyDescent="0.2">
      <c r="A66" s="508" t="s">
        <v>370</v>
      </c>
      <c r="B66" s="508"/>
      <c r="C66" s="508"/>
      <c r="D66" s="508"/>
      <c r="E66" s="508"/>
      <c r="F66" s="508"/>
      <c r="G66" s="508"/>
      <c r="H66" s="509" t="s">
        <v>566</v>
      </c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509"/>
      <c r="AI66" s="509"/>
      <c r="AJ66" s="509"/>
      <c r="AK66" s="509"/>
      <c r="AL66" s="509"/>
      <c r="AM66" s="509"/>
      <c r="AN66" s="509"/>
      <c r="AO66" s="509"/>
      <c r="AP66" s="509"/>
      <c r="AQ66" s="509"/>
      <c r="AR66" s="509"/>
      <c r="AS66" s="509"/>
      <c r="AT66" s="509"/>
      <c r="AU66" s="509"/>
      <c r="AV66" s="509"/>
      <c r="AW66" s="509"/>
      <c r="AX66" s="509"/>
      <c r="AY66" s="509"/>
      <c r="AZ66" s="509"/>
      <c r="BA66" s="509"/>
      <c r="BB66" s="509"/>
      <c r="BC66" s="509"/>
      <c r="BD66" s="510">
        <v>1</v>
      </c>
      <c r="BE66" s="510"/>
      <c r="BF66" s="510"/>
      <c r="BG66" s="510"/>
      <c r="BH66" s="510"/>
      <c r="BI66" s="510"/>
      <c r="BJ66" s="510"/>
      <c r="BK66" s="510"/>
      <c r="BL66" s="510"/>
      <c r="BM66" s="510"/>
      <c r="BN66" s="510"/>
      <c r="BO66" s="510"/>
      <c r="BP66" s="510"/>
      <c r="BQ66" s="510"/>
      <c r="BR66" s="510"/>
      <c r="BS66" s="510"/>
      <c r="BT66" s="511">
        <v>1</v>
      </c>
      <c r="BU66" s="511"/>
      <c r="BV66" s="511"/>
      <c r="BW66" s="511"/>
      <c r="BX66" s="511"/>
      <c r="BY66" s="511"/>
      <c r="BZ66" s="511"/>
      <c r="CA66" s="511"/>
      <c r="CB66" s="511"/>
      <c r="CC66" s="511"/>
      <c r="CD66" s="511"/>
      <c r="CE66" s="511"/>
      <c r="CF66" s="511"/>
      <c r="CG66" s="511"/>
      <c r="CH66" s="511"/>
      <c r="CI66" s="511"/>
      <c r="CJ66" s="511">
        <f>'транспорт услуги 222-500'!E7</f>
        <v>0</v>
      </c>
      <c r="CK66" s="511"/>
      <c r="CL66" s="511"/>
      <c r="CM66" s="511"/>
      <c r="CN66" s="511"/>
      <c r="CO66" s="511"/>
      <c r="CP66" s="511"/>
      <c r="CQ66" s="511"/>
      <c r="CR66" s="511"/>
      <c r="CS66" s="511"/>
      <c r="CT66" s="511"/>
      <c r="CU66" s="511"/>
      <c r="CV66" s="511"/>
      <c r="CW66" s="511"/>
      <c r="CX66" s="511"/>
      <c r="CY66" s="511"/>
      <c r="CZ66" s="511"/>
      <c r="DA66" s="511"/>
      <c r="DE66" s="180"/>
    </row>
    <row r="67" spans="1:109" s="250" customFormat="1" ht="15" customHeight="1" x14ac:dyDescent="0.2">
      <c r="A67" s="508"/>
      <c r="B67" s="508"/>
      <c r="C67" s="508"/>
      <c r="D67" s="508"/>
      <c r="E67" s="508"/>
      <c r="F67" s="508"/>
      <c r="G67" s="508"/>
      <c r="H67" s="512" t="s">
        <v>521</v>
      </c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  <c r="AJ67" s="512"/>
      <c r="AK67" s="512"/>
      <c r="AL67" s="512"/>
      <c r="AM67" s="512"/>
      <c r="AN67" s="512"/>
      <c r="AO67" s="512"/>
      <c r="AP67" s="512"/>
      <c r="AQ67" s="512"/>
      <c r="AR67" s="512"/>
      <c r="AS67" s="512"/>
      <c r="AT67" s="512"/>
      <c r="AU67" s="512"/>
      <c r="AV67" s="512"/>
      <c r="AW67" s="512"/>
      <c r="AX67" s="512"/>
      <c r="AY67" s="512"/>
      <c r="AZ67" s="512"/>
      <c r="BA67" s="512"/>
      <c r="BB67" s="512"/>
      <c r="BC67" s="513"/>
      <c r="BD67" s="510"/>
      <c r="BE67" s="510"/>
      <c r="BF67" s="510"/>
      <c r="BG67" s="510"/>
      <c r="BH67" s="510"/>
      <c r="BI67" s="510"/>
      <c r="BJ67" s="510"/>
      <c r="BK67" s="510"/>
      <c r="BL67" s="510"/>
      <c r="BM67" s="510"/>
      <c r="BN67" s="510"/>
      <c r="BO67" s="510"/>
      <c r="BP67" s="510"/>
      <c r="BQ67" s="510"/>
      <c r="BR67" s="510"/>
      <c r="BS67" s="510"/>
      <c r="BT67" s="511"/>
      <c r="BU67" s="511"/>
      <c r="BV67" s="511"/>
      <c r="BW67" s="511"/>
      <c r="BX67" s="511"/>
      <c r="BY67" s="511"/>
      <c r="BZ67" s="511"/>
      <c r="CA67" s="511"/>
      <c r="CB67" s="511"/>
      <c r="CC67" s="511"/>
      <c r="CD67" s="511"/>
      <c r="CE67" s="511"/>
      <c r="CF67" s="511"/>
      <c r="CG67" s="511"/>
      <c r="CH67" s="511"/>
      <c r="CI67" s="511"/>
      <c r="CJ67" s="514">
        <f>CJ66</f>
        <v>0</v>
      </c>
      <c r="CK67" s="514"/>
      <c r="CL67" s="514"/>
      <c r="CM67" s="514"/>
      <c r="CN67" s="514"/>
      <c r="CO67" s="514"/>
      <c r="CP67" s="514"/>
      <c r="CQ67" s="514"/>
      <c r="CR67" s="514"/>
      <c r="CS67" s="514"/>
      <c r="CT67" s="514"/>
      <c r="CU67" s="514"/>
      <c r="CV67" s="514"/>
      <c r="CW67" s="514"/>
      <c r="CX67" s="514"/>
      <c r="CY67" s="514"/>
      <c r="CZ67" s="514"/>
      <c r="DA67" s="514"/>
      <c r="DE67" s="252">
        <v>222</v>
      </c>
    </row>
    <row r="68" spans="1:109" ht="10.5" customHeight="1" x14ac:dyDescent="0.25"/>
    <row r="69" spans="1:109" ht="12" customHeight="1" x14ac:dyDescent="0.25">
      <c r="DE69" s="253"/>
    </row>
    <row r="70" spans="1:109" s="248" customFormat="1" ht="14.25" hidden="1" x14ac:dyDescent="0.2">
      <c r="A70" s="527" t="s">
        <v>567</v>
      </c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  <c r="AU70" s="527"/>
      <c r="AV70" s="527"/>
      <c r="AW70" s="527"/>
      <c r="AX70" s="527"/>
      <c r="AY70" s="527"/>
      <c r="AZ70" s="527"/>
      <c r="BA70" s="527"/>
      <c r="BB70" s="527"/>
      <c r="BC70" s="527"/>
      <c r="BD70" s="527"/>
      <c r="BE70" s="527"/>
      <c r="BF70" s="527"/>
      <c r="BG70" s="527"/>
      <c r="BH70" s="527"/>
      <c r="BI70" s="527"/>
      <c r="BJ70" s="527"/>
      <c r="BK70" s="527"/>
      <c r="BL70" s="527"/>
      <c r="BM70" s="527"/>
      <c r="BN70" s="527"/>
      <c r="BO70" s="527"/>
      <c r="BP70" s="527"/>
      <c r="BQ70" s="527"/>
      <c r="BR70" s="527"/>
      <c r="BS70" s="527"/>
      <c r="BT70" s="527"/>
      <c r="BU70" s="527"/>
      <c r="BV70" s="527"/>
      <c r="BW70" s="527"/>
      <c r="BX70" s="527"/>
      <c r="BY70" s="527"/>
      <c r="BZ70" s="527"/>
      <c r="CA70" s="527"/>
      <c r="CB70" s="527"/>
      <c r="CC70" s="527"/>
      <c r="CD70" s="527"/>
      <c r="CE70" s="527"/>
      <c r="CF70" s="527"/>
      <c r="CG70" s="527"/>
      <c r="CH70" s="527"/>
      <c r="CI70" s="527"/>
      <c r="CJ70" s="527"/>
      <c r="CK70" s="527"/>
      <c r="CL70" s="527"/>
      <c r="CM70" s="527"/>
      <c r="CN70" s="527"/>
      <c r="CO70" s="527"/>
      <c r="CP70" s="527"/>
      <c r="CQ70" s="527"/>
      <c r="CR70" s="527"/>
      <c r="CS70" s="527"/>
      <c r="CT70" s="527"/>
      <c r="CU70" s="527"/>
      <c r="CV70" s="527"/>
      <c r="CW70" s="527"/>
      <c r="CX70" s="527"/>
      <c r="CY70" s="527"/>
      <c r="CZ70" s="527"/>
      <c r="DA70" s="527"/>
      <c r="DE70" s="249"/>
    </row>
    <row r="71" spans="1:109" ht="10.5" hidden="1" customHeight="1" x14ac:dyDescent="0.25">
      <c r="DE71" s="250"/>
    </row>
    <row r="72" spans="1:109" s="251" customFormat="1" ht="45" hidden="1" customHeight="1" x14ac:dyDescent="0.25">
      <c r="A72" s="520" t="s">
        <v>176</v>
      </c>
      <c r="B72" s="521"/>
      <c r="C72" s="521"/>
      <c r="D72" s="521"/>
      <c r="E72" s="521"/>
      <c r="F72" s="521"/>
      <c r="G72" s="522"/>
      <c r="H72" s="520" t="s">
        <v>225</v>
      </c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21"/>
      <c r="AQ72" s="521"/>
      <c r="AR72" s="521"/>
      <c r="AS72" s="521"/>
      <c r="AT72" s="521"/>
      <c r="AU72" s="521"/>
      <c r="AV72" s="521"/>
      <c r="AW72" s="521"/>
      <c r="AX72" s="521"/>
      <c r="AY72" s="521"/>
      <c r="AZ72" s="521"/>
      <c r="BA72" s="521"/>
      <c r="BB72" s="521"/>
      <c r="BC72" s="522"/>
      <c r="BD72" s="520" t="s">
        <v>2</v>
      </c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2"/>
      <c r="BT72" s="520" t="s">
        <v>568</v>
      </c>
      <c r="BU72" s="521"/>
      <c r="BV72" s="521"/>
      <c r="BW72" s="521"/>
      <c r="BX72" s="521"/>
      <c r="BY72" s="521"/>
      <c r="BZ72" s="521"/>
      <c r="CA72" s="521"/>
      <c r="CB72" s="521"/>
      <c r="CC72" s="521"/>
      <c r="CD72" s="521"/>
      <c r="CE72" s="521"/>
      <c r="CF72" s="521"/>
      <c r="CG72" s="521"/>
      <c r="CH72" s="521"/>
      <c r="CI72" s="522"/>
      <c r="CJ72" s="520" t="s">
        <v>569</v>
      </c>
      <c r="CK72" s="521"/>
      <c r="CL72" s="521"/>
      <c r="CM72" s="521"/>
      <c r="CN72" s="521"/>
      <c r="CO72" s="521"/>
      <c r="CP72" s="521"/>
      <c r="CQ72" s="521"/>
      <c r="CR72" s="521"/>
      <c r="CS72" s="521"/>
      <c r="CT72" s="521"/>
      <c r="CU72" s="521"/>
      <c r="CV72" s="521"/>
      <c r="CW72" s="521"/>
      <c r="CX72" s="521"/>
      <c r="CY72" s="521"/>
      <c r="CZ72" s="521"/>
      <c r="DA72" s="522"/>
      <c r="DE72" s="250"/>
    </row>
    <row r="73" spans="1:109" s="187" customFormat="1" ht="12.75" hidden="1" x14ac:dyDescent="0.25">
      <c r="A73" s="515">
        <v>1</v>
      </c>
      <c r="B73" s="515"/>
      <c r="C73" s="515"/>
      <c r="D73" s="515"/>
      <c r="E73" s="515"/>
      <c r="F73" s="515"/>
      <c r="G73" s="515"/>
      <c r="H73" s="515">
        <v>2</v>
      </c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  <c r="AA73" s="515"/>
      <c r="AB73" s="515"/>
      <c r="AC73" s="515"/>
      <c r="AD73" s="515"/>
      <c r="AE73" s="515"/>
      <c r="AF73" s="515"/>
      <c r="AG73" s="515"/>
      <c r="AH73" s="515"/>
      <c r="AI73" s="515"/>
      <c r="AJ73" s="515"/>
      <c r="AK73" s="515"/>
      <c r="AL73" s="515"/>
      <c r="AM73" s="515"/>
      <c r="AN73" s="515"/>
      <c r="AO73" s="515"/>
      <c r="AP73" s="515"/>
      <c r="AQ73" s="515"/>
      <c r="AR73" s="515"/>
      <c r="AS73" s="515"/>
      <c r="AT73" s="515"/>
      <c r="AU73" s="515"/>
      <c r="AV73" s="515"/>
      <c r="AW73" s="515"/>
      <c r="AX73" s="515"/>
      <c r="AY73" s="515"/>
      <c r="AZ73" s="515"/>
      <c r="BA73" s="515"/>
      <c r="BB73" s="515"/>
      <c r="BC73" s="515"/>
      <c r="BD73" s="515">
        <v>4</v>
      </c>
      <c r="BE73" s="515"/>
      <c r="BF73" s="515"/>
      <c r="BG73" s="515"/>
      <c r="BH73" s="515"/>
      <c r="BI73" s="515"/>
      <c r="BJ73" s="515"/>
      <c r="BK73" s="515"/>
      <c r="BL73" s="515"/>
      <c r="BM73" s="515"/>
      <c r="BN73" s="515"/>
      <c r="BO73" s="515"/>
      <c r="BP73" s="515"/>
      <c r="BQ73" s="515"/>
      <c r="BR73" s="515"/>
      <c r="BS73" s="515"/>
      <c r="BT73" s="515">
        <v>5</v>
      </c>
      <c r="BU73" s="515"/>
      <c r="BV73" s="515"/>
      <c r="BW73" s="515"/>
      <c r="BX73" s="515"/>
      <c r="BY73" s="515"/>
      <c r="BZ73" s="515"/>
      <c r="CA73" s="515"/>
      <c r="CB73" s="515"/>
      <c r="CC73" s="515"/>
      <c r="CD73" s="515"/>
      <c r="CE73" s="515"/>
      <c r="CF73" s="515"/>
      <c r="CG73" s="515"/>
      <c r="CH73" s="515"/>
      <c r="CI73" s="515"/>
      <c r="CJ73" s="515">
        <v>6</v>
      </c>
      <c r="CK73" s="515"/>
      <c r="CL73" s="515"/>
      <c r="CM73" s="515"/>
      <c r="CN73" s="515"/>
      <c r="CO73" s="515"/>
      <c r="CP73" s="515"/>
      <c r="CQ73" s="515"/>
      <c r="CR73" s="515"/>
      <c r="CS73" s="515"/>
      <c r="CT73" s="515"/>
      <c r="CU73" s="515"/>
      <c r="CV73" s="515"/>
      <c r="CW73" s="515"/>
      <c r="CX73" s="515"/>
      <c r="CY73" s="515"/>
      <c r="CZ73" s="515"/>
      <c r="DA73" s="515"/>
      <c r="DE73" s="250"/>
    </row>
    <row r="74" spans="1:109" s="250" customFormat="1" ht="15" hidden="1" customHeight="1" x14ac:dyDescent="0.2">
      <c r="A74" s="508" t="s">
        <v>370</v>
      </c>
      <c r="B74" s="508"/>
      <c r="C74" s="508"/>
      <c r="D74" s="508"/>
      <c r="E74" s="508"/>
      <c r="F74" s="508"/>
      <c r="G74" s="508"/>
      <c r="H74" s="509" t="s">
        <v>570</v>
      </c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  <c r="Z74" s="509"/>
      <c r="AA74" s="509"/>
      <c r="AB74" s="509"/>
      <c r="AC74" s="509"/>
      <c r="AD74" s="509"/>
      <c r="AE74" s="509"/>
      <c r="AF74" s="509"/>
      <c r="AG74" s="509"/>
      <c r="AH74" s="509"/>
      <c r="AI74" s="509"/>
      <c r="AJ74" s="509"/>
      <c r="AK74" s="509"/>
      <c r="AL74" s="509"/>
      <c r="AM74" s="509"/>
      <c r="AN74" s="509"/>
      <c r="AO74" s="509"/>
      <c r="AP74" s="509"/>
      <c r="AQ74" s="509"/>
      <c r="AR74" s="509"/>
      <c r="AS74" s="509"/>
      <c r="AT74" s="509"/>
      <c r="AU74" s="509"/>
      <c r="AV74" s="509"/>
      <c r="AW74" s="509"/>
      <c r="AX74" s="509"/>
      <c r="AY74" s="509"/>
      <c r="AZ74" s="509"/>
      <c r="BA74" s="509"/>
      <c r="BB74" s="509"/>
      <c r="BC74" s="509"/>
      <c r="BD74" s="510">
        <v>12</v>
      </c>
      <c r="BE74" s="510"/>
      <c r="BF74" s="510"/>
      <c r="BG74" s="510"/>
      <c r="BH74" s="510"/>
      <c r="BI74" s="510"/>
      <c r="BJ74" s="510"/>
      <c r="BK74" s="510"/>
      <c r="BL74" s="510"/>
      <c r="BM74" s="510"/>
      <c r="BN74" s="510"/>
      <c r="BO74" s="510"/>
      <c r="BP74" s="510"/>
      <c r="BQ74" s="510"/>
      <c r="BR74" s="510"/>
      <c r="BS74" s="510"/>
      <c r="BT74" s="528">
        <v>0</v>
      </c>
      <c r="BU74" s="529"/>
      <c r="BV74" s="529"/>
      <c r="BW74" s="529"/>
      <c r="BX74" s="529"/>
      <c r="BY74" s="529"/>
      <c r="BZ74" s="529"/>
      <c r="CA74" s="529"/>
      <c r="CB74" s="529"/>
      <c r="CC74" s="529"/>
      <c r="CD74" s="529"/>
      <c r="CE74" s="529"/>
      <c r="CF74" s="529"/>
      <c r="CG74" s="529"/>
      <c r="CH74" s="529"/>
      <c r="CI74" s="530"/>
      <c r="CJ74" s="528">
        <f>BD74*BT74</f>
        <v>0</v>
      </c>
      <c r="CK74" s="529"/>
      <c r="CL74" s="529"/>
      <c r="CM74" s="529"/>
      <c r="CN74" s="529"/>
      <c r="CO74" s="529"/>
      <c r="CP74" s="529"/>
      <c r="CQ74" s="529"/>
      <c r="CR74" s="529"/>
      <c r="CS74" s="529"/>
      <c r="CT74" s="529"/>
      <c r="CU74" s="529"/>
      <c r="CV74" s="529"/>
      <c r="CW74" s="529"/>
      <c r="CX74" s="529"/>
      <c r="CY74" s="529"/>
      <c r="CZ74" s="529"/>
      <c r="DA74" s="530"/>
      <c r="DE74" s="180"/>
    </row>
    <row r="75" spans="1:109" s="250" customFormat="1" ht="15" hidden="1" customHeight="1" x14ac:dyDescent="0.2">
      <c r="A75" s="508"/>
      <c r="B75" s="508"/>
      <c r="C75" s="508"/>
      <c r="D75" s="508"/>
      <c r="E75" s="508"/>
      <c r="F75" s="508"/>
      <c r="G75" s="508"/>
      <c r="H75" s="512" t="s">
        <v>521</v>
      </c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  <c r="AA75" s="512"/>
      <c r="AB75" s="512"/>
      <c r="AC75" s="512"/>
      <c r="AD75" s="512"/>
      <c r="AE75" s="512"/>
      <c r="AF75" s="512"/>
      <c r="AG75" s="512"/>
      <c r="AH75" s="512"/>
      <c r="AI75" s="512"/>
      <c r="AJ75" s="512"/>
      <c r="AK75" s="512"/>
      <c r="AL75" s="512"/>
      <c r="AM75" s="512"/>
      <c r="AN75" s="512"/>
      <c r="AO75" s="512"/>
      <c r="AP75" s="512"/>
      <c r="AQ75" s="512"/>
      <c r="AR75" s="512"/>
      <c r="AS75" s="512"/>
      <c r="AT75" s="512"/>
      <c r="AU75" s="512"/>
      <c r="AV75" s="512"/>
      <c r="AW75" s="512"/>
      <c r="AX75" s="512"/>
      <c r="AY75" s="512"/>
      <c r="AZ75" s="512"/>
      <c r="BA75" s="512"/>
      <c r="BB75" s="512"/>
      <c r="BC75" s="513"/>
      <c r="BD75" s="510" t="s">
        <v>494</v>
      </c>
      <c r="BE75" s="510"/>
      <c r="BF75" s="510"/>
      <c r="BG75" s="510"/>
      <c r="BH75" s="510"/>
      <c r="BI75" s="510"/>
      <c r="BJ75" s="510"/>
      <c r="BK75" s="510"/>
      <c r="BL75" s="510"/>
      <c r="BM75" s="510"/>
      <c r="BN75" s="510"/>
      <c r="BO75" s="510"/>
      <c r="BP75" s="510"/>
      <c r="BQ75" s="510"/>
      <c r="BR75" s="510"/>
      <c r="BS75" s="510"/>
      <c r="BT75" s="510" t="s">
        <v>494</v>
      </c>
      <c r="BU75" s="510"/>
      <c r="BV75" s="510"/>
      <c r="BW75" s="510"/>
      <c r="BX75" s="510"/>
      <c r="BY75" s="510"/>
      <c r="BZ75" s="510"/>
      <c r="CA75" s="510"/>
      <c r="CB75" s="510"/>
      <c r="CC75" s="510"/>
      <c r="CD75" s="510"/>
      <c r="CE75" s="510"/>
      <c r="CF75" s="510"/>
      <c r="CG75" s="510"/>
      <c r="CH75" s="510"/>
      <c r="CI75" s="510"/>
      <c r="CJ75" s="514">
        <f>CJ74</f>
        <v>0</v>
      </c>
      <c r="CK75" s="514"/>
      <c r="CL75" s="514"/>
      <c r="CM75" s="514"/>
      <c r="CN75" s="514"/>
      <c r="CO75" s="514"/>
      <c r="CP75" s="514"/>
      <c r="CQ75" s="514"/>
      <c r="CR75" s="514"/>
      <c r="CS75" s="514"/>
      <c r="CT75" s="514"/>
      <c r="CU75" s="514"/>
      <c r="CV75" s="514"/>
      <c r="CW75" s="514"/>
      <c r="CX75" s="514"/>
      <c r="CY75" s="514"/>
      <c r="CZ75" s="514"/>
      <c r="DA75" s="514"/>
      <c r="DE75" s="180">
        <v>224</v>
      </c>
    </row>
    <row r="76" spans="1:109" ht="12" customHeight="1" x14ac:dyDescent="0.25">
      <c r="DE76" s="253"/>
    </row>
    <row r="77" spans="1:109" s="248" customFormat="1" ht="14.25" x14ac:dyDescent="0.2">
      <c r="A77" s="527" t="s">
        <v>571</v>
      </c>
      <c r="B77" s="527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  <c r="AU77" s="527"/>
      <c r="AV77" s="527"/>
      <c r="AW77" s="527"/>
      <c r="AX77" s="527"/>
      <c r="AY77" s="527"/>
      <c r="AZ77" s="527"/>
      <c r="BA77" s="527"/>
      <c r="BB77" s="527"/>
      <c r="BC77" s="527"/>
      <c r="BD77" s="527"/>
      <c r="BE77" s="527"/>
      <c r="BF77" s="527"/>
      <c r="BG77" s="527"/>
      <c r="BH77" s="527"/>
      <c r="BI77" s="527"/>
      <c r="BJ77" s="527"/>
      <c r="BK77" s="527"/>
      <c r="BL77" s="527"/>
      <c r="BM77" s="527"/>
      <c r="BN77" s="527"/>
      <c r="BO77" s="527"/>
      <c r="BP77" s="527"/>
      <c r="BQ77" s="527"/>
      <c r="BR77" s="527"/>
      <c r="BS77" s="527"/>
      <c r="BT77" s="527"/>
      <c r="BU77" s="527"/>
      <c r="BV77" s="527"/>
      <c r="BW77" s="527"/>
      <c r="BX77" s="527"/>
      <c r="BY77" s="527"/>
      <c r="BZ77" s="527"/>
      <c r="CA77" s="527"/>
      <c r="CB77" s="527"/>
      <c r="CC77" s="527"/>
      <c r="CD77" s="527"/>
      <c r="CE77" s="527"/>
      <c r="CF77" s="527"/>
      <c r="CG77" s="527"/>
      <c r="CH77" s="527"/>
      <c r="CI77" s="527"/>
      <c r="CJ77" s="527"/>
      <c r="CK77" s="527"/>
      <c r="CL77" s="527"/>
      <c r="CM77" s="527"/>
      <c r="CN77" s="527"/>
      <c r="CO77" s="527"/>
      <c r="CP77" s="527"/>
      <c r="CQ77" s="527"/>
      <c r="CR77" s="527"/>
      <c r="CS77" s="527"/>
      <c r="CT77" s="527"/>
      <c r="CU77" s="527"/>
      <c r="CV77" s="527"/>
      <c r="CW77" s="527"/>
      <c r="CX77" s="527"/>
      <c r="CY77" s="527"/>
      <c r="CZ77" s="527"/>
      <c r="DA77" s="527"/>
      <c r="DE77" s="249"/>
    </row>
    <row r="78" spans="1:109" ht="10.5" customHeight="1" x14ac:dyDescent="0.25">
      <c r="DE78" s="250"/>
    </row>
    <row r="79" spans="1:109" s="251" customFormat="1" ht="45" customHeight="1" x14ac:dyDescent="0.25">
      <c r="A79" s="520" t="s">
        <v>176</v>
      </c>
      <c r="B79" s="521"/>
      <c r="C79" s="521"/>
      <c r="D79" s="521"/>
      <c r="E79" s="521"/>
      <c r="F79" s="521"/>
      <c r="G79" s="522"/>
      <c r="H79" s="520" t="s">
        <v>549</v>
      </c>
      <c r="I79" s="521"/>
      <c r="J79" s="521"/>
      <c r="K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21"/>
      <c r="AQ79" s="521"/>
      <c r="AR79" s="521"/>
      <c r="AS79" s="521"/>
      <c r="AT79" s="521"/>
      <c r="AU79" s="521"/>
      <c r="AV79" s="521"/>
      <c r="AW79" s="521"/>
      <c r="AX79" s="521"/>
      <c r="AY79" s="521"/>
      <c r="AZ79" s="521"/>
      <c r="BA79" s="521"/>
      <c r="BB79" s="521"/>
      <c r="BC79" s="522"/>
      <c r="BD79" s="520" t="s">
        <v>572</v>
      </c>
      <c r="BE79" s="521"/>
      <c r="BF79" s="521"/>
      <c r="BG79" s="521"/>
      <c r="BH79" s="521"/>
      <c r="BI79" s="521"/>
      <c r="BJ79" s="521"/>
      <c r="BK79" s="521"/>
      <c r="BL79" s="521"/>
      <c r="BM79" s="521"/>
      <c r="BN79" s="521"/>
      <c r="BO79" s="521"/>
      <c r="BP79" s="521"/>
      <c r="BQ79" s="521"/>
      <c r="BR79" s="521"/>
      <c r="BS79" s="522"/>
      <c r="BT79" s="520" t="s">
        <v>573</v>
      </c>
      <c r="BU79" s="521"/>
      <c r="BV79" s="521"/>
      <c r="BW79" s="521"/>
      <c r="BX79" s="521"/>
      <c r="BY79" s="521"/>
      <c r="BZ79" s="521"/>
      <c r="CA79" s="521"/>
      <c r="CB79" s="521"/>
      <c r="CC79" s="521"/>
      <c r="CD79" s="521"/>
      <c r="CE79" s="521"/>
      <c r="CF79" s="521"/>
      <c r="CG79" s="521"/>
      <c r="CH79" s="521"/>
      <c r="CI79" s="522"/>
      <c r="CJ79" s="520" t="s">
        <v>574</v>
      </c>
      <c r="CK79" s="521"/>
      <c r="CL79" s="521"/>
      <c r="CM79" s="521"/>
      <c r="CN79" s="521"/>
      <c r="CO79" s="521"/>
      <c r="CP79" s="521"/>
      <c r="CQ79" s="521"/>
      <c r="CR79" s="521"/>
      <c r="CS79" s="521"/>
      <c r="CT79" s="521"/>
      <c r="CU79" s="521"/>
      <c r="CV79" s="521"/>
      <c r="CW79" s="521"/>
      <c r="CX79" s="521"/>
      <c r="CY79" s="521"/>
      <c r="CZ79" s="521"/>
      <c r="DA79" s="522"/>
      <c r="DE79" s="250"/>
    </row>
    <row r="80" spans="1:109" s="187" customFormat="1" ht="12.75" x14ac:dyDescent="0.25">
      <c r="A80" s="515">
        <v>1</v>
      </c>
      <c r="B80" s="515"/>
      <c r="C80" s="515"/>
      <c r="D80" s="515"/>
      <c r="E80" s="515"/>
      <c r="F80" s="515"/>
      <c r="G80" s="515"/>
      <c r="H80" s="515">
        <v>2</v>
      </c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  <c r="AA80" s="515"/>
      <c r="AB80" s="515"/>
      <c r="AC80" s="515"/>
      <c r="AD80" s="515"/>
      <c r="AE80" s="515"/>
      <c r="AF80" s="515"/>
      <c r="AG80" s="515"/>
      <c r="AH80" s="515"/>
      <c r="AI80" s="515"/>
      <c r="AJ80" s="515"/>
      <c r="AK80" s="515"/>
      <c r="AL80" s="515"/>
      <c r="AM80" s="515"/>
      <c r="AN80" s="515"/>
      <c r="AO80" s="515"/>
      <c r="AP80" s="515"/>
      <c r="AQ80" s="515"/>
      <c r="AR80" s="515"/>
      <c r="AS80" s="515"/>
      <c r="AT80" s="515"/>
      <c r="AU80" s="515"/>
      <c r="AV80" s="515"/>
      <c r="AW80" s="515"/>
      <c r="AX80" s="515"/>
      <c r="AY80" s="515"/>
      <c r="AZ80" s="515"/>
      <c r="BA80" s="515"/>
      <c r="BB80" s="515"/>
      <c r="BC80" s="515"/>
      <c r="BD80" s="515">
        <v>3</v>
      </c>
      <c r="BE80" s="515"/>
      <c r="BF80" s="515"/>
      <c r="BG80" s="515"/>
      <c r="BH80" s="515"/>
      <c r="BI80" s="515"/>
      <c r="BJ80" s="515"/>
      <c r="BK80" s="515"/>
      <c r="BL80" s="515"/>
      <c r="BM80" s="515"/>
      <c r="BN80" s="515"/>
      <c r="BO80" s="515"/>
      <c r="BP80" s="515"/>
      <c r="BQ80" s="515"/>
      <c r="BR80" s="515"/>
      <c r="BS80" s="515"/>
      <c r="BT80" s="515">
        <v>4</v>
      </c>
      <c r="BU80" s="515"/>
      <c r="BV80" s="515"/>
      <c r="BW80" s="515"/>
      <c r="BX80" s="515"/>
      <c r="BY80" s="515"/>
      <c r="BZ80" s="515"/>
      <c r="CA80" s="515"/>
      <c r="CB80" s="515"/>
      <c r="CC80" s="515"/>
      <c r="CD80" s="515"/>
      <c r="CE80" s="515"/>
      <c r="CF80" s="515"/>
      <c r="CG80" s="515"/>
      <c r="CH80" s="515"/>
      <c r="CI80" s="515"/>
      <c r="CJ80" s="515">
        <v>5</v>
      </c>
      <c r="CK80" s="515"/>
      <c r="CL80" s="515"/>
      <c r="CM80" s="515"/>
      <c r="CN80" s="515"/>
      <c r="CO80" s="515"/>
      <c r="CP80" s="515"/>
      <c r="CQ80" s="515"/>
      <c r="CR80" s="515"/>
      <c r="CS80" s="515"/>
      <c r="CT80" s="515"/>
      <c r="CU80" s="515"/>
      <c r="CV80" s="515"/>
      <c r="CW80" s="515"/>
      <c r="CX80" s="515"/>
      <c r="CY80" s="515"/>
      <c r="CZ80" s="515"/>
      <c r="DA80" s="515"/>
      <c r="DE80" s="250"/>
    </row>
    <row r="81" spans="1:109" s="250" customFormat="1" ht="26.25" customHeight="1" x14ac:dyDescent="0.25">
      <c r="A81" s="508" t="s">
        <v>370</v>
      </c>
      <c r="B81" s="508"/>
      <c r="C81" s="508"/>
      <c r="D81" s="508"/>
      <c r="E81" s="508"/>
      <c r="F81" s="508"/>
      <c r="G81" s="508"/>
      <c r="H81" s="509" t="s">
        <v>119</v>
      </c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  <c r="Z81" s="509"/>
      <c r="AA81" s="509"/>
      <c r="AB81" s="509"/>
      <c r="AC81" s="509"/>
      <c r="AD81" s="509"/>
      <c r="AE81" s="509"/>
      <c r="AF81" s="509"/>
      <c r="AG81" s="509"/>
      <c r="AH81" s="509"/>
      <c r="AI81" s="509"/>
      <c r="AJ81" s="509"/>
      <c r="AK81" s="509"/>
      <c r="AL81" s="509"/>
      <c r="AM81" s="509"/>
      <c r="AN81" s="509"/>
      <c r="AO81" s="509"/>
      <c r="AP81" s="509"/>
      <c r="AQ81" s="509"/>
      <c r="AR81" s="509"/>
      <c r="AS81" s="509"/>
      <c r="AT81" s="509"/>
      <c r="AU81" s="509"/>
      <c r="AV81" s="509"/>
      <c r="AW81" s="509"/>
      <c r="AX81" s="509"/>
      <c r="AY81" s="509"/>
      <c r="AZ81" s="509"/>
      <c r="BA81" s="509"/>
      <c r="BB81" s="509"/>
      <c r="BC81" s="509"/>
      <c r="BD81" s="510"/>
      <c r="BE81" s="510"/>
      <c r="BF81" s="510"/>
      <c r="BG81" s="510"/>
      <c r="BH81" s="510"/>
      <c r="BI81" s="510"/>
      <c r="BJ81" s="510"/>
      <c r="BK81" s="510"/>
      <c r="BL81" s="510"/>
      <c r="BM81" s="510"/>
      <c r="BN81" s="510"/>
      <c r="BO81" s="510"/>
      <c r="BP81" s="510"/>
      <c r="BQ81" s="510"/>
      <c r="BR81" s="510"/>
      <c r="BS81" s="510"/>
      <c r="BT81" s="510"/>
      <c r="BU81" s="510"/>
      <c r="BV81" s="510"/>
      <c r="BW81" s="510"/>
      <c r="BX81" s="510"/>
      <c r="BY81" s="510"/>
      <c r="BZ81" s="510"/>
      <c r="CA81" s="510"/>
      <c r="CB81" s="510"/>
      <c r="CC81" s="510"/>
      <c r="CD81" s="510"/>
      <c r="CE81" s="510"/>
      <c r="CF81" s="510"/>
      <c r="CG81" s="510"/>
      <c r="CH81" s="510"/>
      <c r="CI81" s="510"/>
      <c r="CJ81" s="511">
        <f>'Пож сигнализ 225-055 '!J5</f>
        <v>126000</v>
      </c>
      <c r="CK81" s="511"/>
      <c r="CL81" s="511"/>
      <c r="CM81" s="511"/>
      <c r="CN81" s="511"/>
      <c r="CO81" s="511"/>
      <c r="CP81" s="511"/>
      <c r="CQ81" s="511"/>
      <c r="CR81" s="511"/>
      <c r="CS81" s="511"/>
      <c r="CT81" s="511"/>
      <c r="CU81" s="511"/>
      <c r="CV81" s="511"/>
      <c r="CW81" s="511"/>
      <c r="CX81" s="511"/>
      <c r="CY81" s="511"/>
      <c r="CZ81" s="511"/>
      <c r="DA81" s="511"/>
    </row>
    <row r="82" spans="1:109" s="250" customFormat="1" ht="15" customHeight="1" x14ac:dyDescent="0.25">
      <c r="A82" s="508" t="s">
        <v>377</v>
      </c>
      <c r="B82" s="508"/>
      <c r="C82" s="508"/>
      <c r="D82" s="508"/>
      <c r="E82" s="508"/>
      <c r="F82" s="508"/>
      <c r="G82" s="508"/>
      <c r="H82" s="509" t="s">
        <v>575</v>
      </c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509"/>
      <c r="AL82" s="509"/>
      <c r="AM82" s="509"/>
      <c r="AN82" s="509"/>
      <c r="AO82" s="509"/>
      <c r="AP82" s="509"/>
      <c r="AQ82" s="509"/>
      <c r="AR82" s="509"/>
      <c r="AS82" s="509"/>
      <c r="AT82" s="509"/>
      <c r="AU82" s="509"/>
      <c r="AV82" s="509"/>
      <c r="AW82" s="509"/>
      <c r="AX82" s="509"/>
      <c r="AY82" s="509"/>
      <c r="AZ82" s="509"/>
      <c r="BA82" s="509"/>
      <c r="BB82" s="509"/>
      <c r="BC82" s="509"/>
      <c r="BD82" s="510"/>
      <c r="BE82" s="510"/>
      <c r="BF82" s="510"/>
      <c r="BG82" s="510"/>
      <c r="BH82" s="510"/>
      <c r="BI82" s="510"/>
      <c r="BJ82" s="510"/>
      <c r="BK82" s="510"/>
      <c r="BL82" s="510"/>
      <c r="BM82" s="510"/>
      <c r="BN82" s="510"/>
      <c r="BO82" s="510"/>
      <c r="BP82" s="510"/>
      <c r="BQ82" s="510"/>
      <c r="BR82" s="510"/>
      <c r="BS82" s="510"/>
      <c r="BT82" s="510"/>
      <c r="BU82" s="510"/>
      <c r="BV82" s="510"/>
      <c r="BW82" s="510"/>
      <c r="BX82" s="510"/>
      <c r="BY82" s="510"/>
      <c r="BZ82" s="510"/>
      <c r="CA82" s="510"/>
      <c r="CB82" s="510"/>
      <c r="CC82" s="510"/>
      <c r="CD82" s="510"/>
      <c r="CE82" s="510"/>
      <c r="CF82" s="510"/>
      <c r="CG82" s="510"/>
      <c r="CH82" s="510"/>
      <c r="CI82" s="510"/>
      <c r="CJ82" s="511">
        <f>' услуги по содерж имущ 225-770'!E15</f>
        <v>23000.16</v>
      </c>
      <c r="CK82" s="511"/>
      <c r="CL82" s="511"/>
      <c r="CM82" s="511"/>
      <c r="CN82" s="511"/>
      <c r="CO82" s="511"/>
      <c r="CP82" s="511"/>
      <c r="CQ82" s="511"/>
      <c r="CR82" s="511"/>
      <c r="CS82" s="511"/>
      <c r="CT82" s="511"/>
      <c r="CU82" s="511"/>
      <c r="CV82" s="511"/>
      <c r="CW82" s="511"/>
      <c r="CX82" s="511"/>
      <c r="CY82" s="511"/>
      <c r="CZ82" s="511"/>
      <c r="DA82" s="511"/>
    </row>
    <row r="83" spans="1:109" s="250" customFormat="1" ht="15" customHeight="1" x14ac:dyDescent="0.2">
      <c r="A83" s="508" t="s">
        <v>394</v>
      </c>
      <c r="B83" s="508"/>
      <c r="C83" s="508"/>
      <c r="D83" s="508"/>
      <c r="E83" s="508"/>
      <c r="F83" s="508"/>
      <c r="G83" s="508"/>
      <c r="H83" s="509" t="s">
        <v>576</v>
      </c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09"/>
      <c r="AF83" s="509"/>
      <c r="AG83" s="509"/>
      <c r="AH83" s="509"/>
      <c r="AI83" s="509"/>
      <c r="AJ83" s="509"/>
      <c r="AK83" s="509"/>
      <c r="AL83" s="509"/>
      <c r="AM83" s="509"/>
      <c r="AN83" s="509"/>
      <c r="AO83" s="509"/>
      <c r="AP83" s="509"/>
      <c r="AQ83" s="509"/>
      <c r="AR83" s="509"/>
      <c r="AS83" s="509"/>
      <c r="AT83" s="509"/>
      <c r="AU83" s="509"/>
      <c r="AV83" s="509"/>
      <c r="AW83" s="509"/>
      <c r="AX83" s="509"/>
      <c r="AY83" s="509"/>
      <c r="AZ83" s="509"/>
      <c r="BA83" s="509"/>
      <c r="BB83" s="509"/>
      <c r="BC83" s="509"/>
      <c r="BD83" s="510"/>
      <c r="BE83" s="510"/>
      <c r="BF83" s="510"/>
      <c r="BG83" s="510"/>
      <c r="BH83" s="510"/>
      <c r="BI83" s="510"/>
      <c r="BJ83" s="510"/>
      <c r="BK83" s="510"/>
      <c r="BL83" s="510"/>
      <c r="BM83" s="510"/>
      <c r="BN83" s="510"/>
      <c r="BO83" s="510"/>
      <c r="BP83" s="510"/>
      <c r="BQ83" s="510"/>
      <c r="BR83" s="510"/>
      <c r="BS83" s="510"/>
      <c r="BT83" s="510"/>
      <c r="BU83" s="510"/>
      <c r="BV83" s="510"/>
      <c r="BW83" s="510"/>
      <c r="BX83" s="510"/>
      <c r="BY83" s="510"/>
      <c r="BZ83" s="510"/>
      <c r="CA83" s="510"/>
      <c r="CB83" s="510"/>
      <c r="CC83" s="510"/>
      <c r="CD83" s="510"/>
      <c r="CE83" s="510"/>
      <c r="CF83" s="510"/>
      <c r="CG83" s="510"/>
      <c r="CH83" s="510"/>
      <c r="CI83" s="510"/>
      <c r="CJ83" s="511">
        <f>'Техобслуживание 225-770 226-046'!E13</f>
        <v>1328388.8999999999</v>
      </c>
      <c r="CK83" s="511"/>
      <c r="CL83" s="511"/>
      <c r="CM83" s="511"/>
      <c r="CN83" s="511"/>
      <c r="CO83" s="511"/>
      <c r="CP83" s="511"/>
      <c r="CQ83" s="511"/>
      <c r="CR83" s="511"/>
      <c r="CS83" s="511"/>
      <c r="CT83" s="511"/>
      <c r="CU83" s="511"/>
      <c r="CV83" s="511"/>
      <c r="CW83" s="511"/>
      <c r="CX83" s="511"/>
      <c r="CY83" s="511"/>
      <c r="CZ83" s="511"/>
      <c r="DA83" s="511"/>
      <c r="DE83" s="180"/>
    </row>
    <row r="84" spans="1:109" s="250" customFormat="1" ht="15" customHeight="1" x14ac:dyDescent="0.2">
      <c r="A84" s="508" t="s">
        <v>397</v>
      </c>
      <c r="B84" s="508"/>
      <c r="C84" s="508"/>
      <c r="D84" s="508"/>
      <c r="E84" s="508"/>
      <c r="F84" s="508"/>
      <c r="G84" s="508"/>
      <c r="H84" s="509" t="s">
        <v>577</v>
      </c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09"/>
      <c r="AF84" s="509"/>
      <c r="AG84" s="509"/>
      <c r="AH84" s="509"/>
      <c r="AI84" s="509"/>
      <c r="AJ84" s="509"/>
      <c r="AK84" s="509"/>
      <c r="AL84" s="509"/>
      <c r="AM84" s="509"/>
      <c r="AN84" s="509"/>
      <c r="AO84" s="509"/>
      <c r="AP84" s="509"/>
      <c r="AQ84" s="509"/>
      <c r="AR84" s="509"/>
      <c r="AS84" s="509"/>
      <c r="AT84" s="509"/>
      <c r="AU84" s="509"/>
      <c r="AV84" s="509"/>
      <c r="AW84" s="509"/>
      <c r="AX84" s="509"/>
      <c r="AY84" s="509"/>
      <c r="AZ84" s="509"/>
      <c r="BA84" s="509"/>
      <c r="BB84" s="509"/>
      <c r="BC84" s="509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0"/>
      <c r="BO84" s="510"/>
      <c r="BP84" s="510"/>
      <c r="BQ84" s="510"/>
      <c r="BR84" s="510"/>
      <c r="BS84" s="510"/>
      <c r="BT84" s="510"/>
      <c r="BU84" s="510"/>
      <c r="BV84" s="510"/>
      <c r="BW84" s="510"/>
      <c r="BX84" s="510"/>
      <c r="BY84" s="510"/>
      <c r="BZ84" s="510"/>
      <c r="CA84" s="510"/>
      <c r="CB84" s="510"/>
      <c r="CC84" s="510"/>
      <c r="CD84" s="510"/>
      <c r="CE84" s="510"/>
      <c r="CF84" s="510"/>
      <c r="CG84" s="510"/>
      <c r="CH84" s="510"/>
      <c r="CI84" s="510"/>
      <c r="CJ84" s="511">
        <v>0</v>
      </c>
      <c r="CK84" s="511"/>
      <c r="CL84" s="511"/>
      <c r="CM84" s="511"/>
      <c r="CN84" s="511"/>
      <c r="CO84" s="511"/>
      <c r="CP84" s="511"/>
      <c r="CQ84" s="511"/>
      <c r="CR84" s="511"/>
      <c r="CS84" s="511"/>
      <c r="CT84" s="511"/>
      <c r="CU84" s="511"/>
      <c r="CV84" s="511"/>
      <c r="CW84" s="511"/>
      <c r="CX84" s="511"/>
      <c r="CY84" s="511"/>
      <c r="CZ84" s="511"/>
      <c r="DA84" s="511"/>
      <c r="DE84" s="252"/>
    </row>
    <row r="85" spans="1:109" s="250" customFormat="1" ht="15" customHeight="1" x14ac:dyDescent="0.2">
      <c r="A85" s="508" t="s">
        <v>409</v>
      </c>
      <c r="B85" s="508"/>
      <c r="C85" s="508"/>
      <c r="D85" s="508"/>
      <c r="E85" s="508"/>
      <c r="F85" s="508"/>
      <c r="G85" s="508"/>
      <c r="H85" s="509" t="s">
        <v>578</v>
      </c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/>
      <c r="BA85" s="509"/>
      <c r="BB85" s="509"/>
      <c r="BC85" s="509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0"/>
      <c r="BO85" s="510"/>
      <c r="BP85" s="510"/>
      <c r="BQ85" s="510"/>
      <c r="BR85" s="510"/>
      <c r="BS85" s="510"/>
      <c r="BT85" s="510"/>
      <c r="BU85" s="510"/>
      <c r="BV85" s="510"/>
      <c r="BW85" s="510"/>
      <c r="BX85" s="510"/>
      <c r="BY85" s="510"/>
      <c r="BZ85" s="510"/>
      <c r="CA85" s="510"/>
      <c r="CB85" s="510"/>
      <c r="CC85" s="510"/>
      <c r="CD85" s="510"/>
      <c r="CE85" s="510"/>
      <c r="CF85" s="510"/>
      <c r="CG85" s="510"/>
      <c r="CH85" s="510"/>
      <c r="CI85" s="510"/>
      <c r="CJ85" s="511">
        <v>0</v>
      </c>
      <c r="CK85" s="511"/>
      <c r="CL85" s="511"/>
      <c r="CM85" s="511"/>
      <c r="CN85" s="511"/>
      <c r="CO85" s="511"/>
      <c r="CP85" s="511"/>
      <c r="CQ85" s="511"/>
      <c r="CR85" s="511"/>
      <c r="CS85" s="511"/>
      <c r="CT85" s="511"/>
      <c r="CU85" s="511"/>
      <c r="CV85" s="511"/>
      <c r="CW85" s="511"/>
      <c r="CX85" s="511"/>
      <c r="CY85" s="511"/>
      <c r="CZ85" s="511"/>
      <c r="DA85" s="511"/>
      <c r="DE85" s="252"/>
    </row>
    <row r="86" spans="1:109" s="250" customFormat="1" ht="15" customHeight="1" x14ac:dyDescent="0.2">
      <c r="A86" s="508"/>
      <c r="B86" s="508"/>
      <c r="C86" s="508"/>
      <c r="D86" s="508"/>
      <c r="E86" s="508"/>
      <c r="F86" s="508"/>
      <c r="G86" s="508"/>
      <c r="H86" s="512" t="s">
        <v>521</v>
      </c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  <c r="AR86" s="512"/>
      <c r="AS86" s="512"/>
      <c r="AT86" s="512"/>
      <c r="AU86" s="512"/>
      <c r="AV86" s="512"/>
      <c r="AW86" s="512"/>
      <c r="AX86" s="512"/>
      <c r="AY86" s="512"/>
      <c r="AZ86" s="512"/>
      <c r="BA86" s="512"/>
      <c r="BB86" s="512"/>
      <c r="BC86" s="513"/>
      <c r="BD86" s="510" t="s">
        <v>494</v>
      </c>
      <c r="BE86" s="510"/>
      <c r="BF86" s="510"/>
      <c r="BG86" s="510"/>
      <c r="BH86" s="510"/>
      <c r="BI86" s="510"/>
      <c r="BJ86" s="510"/>
      <c r="BK86" s="510"/>
      <c r="BL86" s="510"/>
      <c r="BM86" s="510"/>
      <c r="BN86" s="510"/>
      <c r="BO86" s="510"/>
      <c r="BP86" s="510"/>
      <c r="BQ86" s="510"/>
      <c r="BR86" s="510"/>
      <c r="BS86" s="510"/>
      <c r="BT86" s="510" t="s">
        <v>494</v>
      </c>
      <c r="BU86" s="510"/>
      <c r="BV86" s="510"/>
      <c r="BW86" s="510"/>
      <c r="BX86" s="510"/>
      <c r="BY86" s="510"/>
      <c r="BZ86" s="510"/>
      <c r="CA86" s="510"/>
      <c r="CB86" s="510"/>
      <c r="CC86" s="510"/>
      <c r="CD86" s="510"/>
      <c r="CE86" s="510"/>
      <c r="CF86" s="510"/>
      <c r="CG86" s="510"/>
      <c r="CH86" s="510"/>
      <c r="CI86" s="510"/>
      <c r="CJ86" s="514">
        <f>CJ81+CJ83+CJ85+CJ82+CJ84</f>
        <v>1477389.0599999998</v>
      </c>
      <c r="CK86" s="526"/>
      <c r="CL86" s="526"/>
      <c r="CM86" s="526"/>
      <c r="CN86" s="526"/>
      <c r="CO86" s="526"/>
      <c r="CP86" s="526"/>
      <c r="CQ86" s="526"/>
      <c r="CR86" s="526"/>
      <c r="CS86" s="526"/>
      <c r="CT86" s="526"/>
      <c r="CU86" s="526"/>
      <c r="CV86" s="526"/>
      <c r="CW86" s="526"/>
      <c r="CX86" s="526"/>
      <c r="CY86" s="526"/>
      <c r="CZ86" s="526"/>
      <c r="DA86" s="526"/>
      <c r="DE86" s="180">
        <v>225</v>
      </c>
    </row>
    <row r="88" spans="1:109" s="248" customFormat="1" ht="14.25" x14ac:dyDescent="0.2">
      <c r="A88" s="527" t="s">
        <v>579</v>
      </c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527"/>
      <c r="BB88" s="527"/>
      <c r="BC88" s="527"/>
      <c r="BD88" s="527"/>
      <c r="BE88" s="527"/>
      <c r="BF88" s="527"/>
      <c r="BG88" s="527"/>
      <c r="BH88" s="527"/>
      <c r="BI88" s="527"/>
      <c r="BJ88" s="527"/>
      <c r="BK88" s="527"/>
      <c r="BL88" s="527"/>
      <c r="BM88" s="527"/>
      <c r="BN88" s="527"/>
      <c r="BO88" s="527"/>
      <c r="BP88" s="527"/>
      <c r="BQ88" s="527"/>
      <c r="BR88" s="527"/>
      <c r="BS88" s="527"/>
      <c r="BT88" s="527"/>
      <c r="BU88" s="527"/>
      <c r="BV88" s="527"/>
      <c r="BW88" s="527"/>
      <c r="BX88" s="527"/>
      <c r="BY88" s="527"/>
      <c r="BZ88" s="527"/>
      <c r="CA88" s="527"/>
      <c r="CB88" s="527"/>
      <c r="CC88" s="527"/>
      <c r="CD88" s="527"/>
      <c r="CE88" s="527"/>
      <c r="CF88" s="527"/>
      <c r="CG88" s="527"/>
      <c r="CH88" s="527"/>
      <c r="CI88" s="527"/>
      <c r="CJ88" s="527"/>
      <c r="CK88" s="527"/>
      <c r="CL88" s="527"/>
      <c r="CM88" s="527"/>
      <c r="CN88" s="527"/>
      <c r="CO88" s="527"/>
      <c r="CP88" s="527"/>
      <c r="CQ88" s="527"/>
      <c r="CR88" s="527"/>
      <c r="CS88" s="527"/>
      <c r="CT88" s="527"/>
      <c r="CU88" s="527"/>
      <c r="CV88" s="527"/>
      <c r="CW88" s="527"/>
      <c r="CX88" s="527"/>
      <c r="CY88" s="527"/>
      <c r="CZ88" s="527"/>
      <c r="DA88" s="527"/>
      <c r="DE88" s="180"/>
    </row>
    <row r="89" spans="1:109" ht="10.5" customHeight="1" x14ac:dyDescent="0.25"/>
    <row r="90" spans="1:109" ht="30" customHeight="1" x14ac:dyDescent="0.25">
      <c r="A90" s="520" t="s">
        <v>176</v>
      </c>
      <c r="B90" s="521"/>
      <c r="C90" s="521"/>
      <c r="D90" s="521"/>
      <c r="E90" s="521"/>
      <c r="F90" s="521"/>
      <c r="G90" s="522"/>
      <c r="H90" s="520" t="s">
        <v>549</v>
      </c>
      <c r="I90" s="521"/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521"/>
      <c r="X90" s="521"/>
      <c r="Y90" s="521"/>
      <c r="Z90" s="521"/>
      <c r="AA90" s="521"/>
      <c r="AB90" s="521"/>
      <c r="AC90" s="521"/>
      <c r="AD90" s="521"/>
      <c r="AE90" s="521"/>
      <c r="AF90" s="521"/>
      <c r="AG90" s="521"/>
      <c r="AH90" s="521"/>
      <c r="AI90" s="521"/>
      <c r="AJ90" s="521"/>
      <c r="AK90" s="521"/>
      <c r="AL90" s="521"/>
      <c r="AM90" s="521"/>
      <c r="AN90" s="521"/>
      <c r="AO90" s="521"/>
      <c r="AP90" s="521"/>
      <c r="AQ90" s="521"/>
      <c r="AR90" s="521"/>
      <c r="AS90" s="521"/>
      <c r="AT90" s="521"/>
      <c r="AU90" s="521"/>
      <c r="AV90" s="521"/>
      <c r="AW90" s="521"/>
      <c r="AX90" s="521"/>
      <c r="AY90" s="521"/>
      <c r="AZ90" s="521"/>
      <c r="BA90" s="521"/>
      <c r="BB90" s="521"/>
      <c r="BC90" s="521"/>
      <c r="BD90" s="521"/>
      <c r="BE90" s="521"/>
      <c r="BF90" s="521"/>
      <c r="BG90" s="521"/>
      <c r="BH90" s="521"/>
      <c r="BI90" s="521"/>
      <c r="BJ90" s="521"/>
      <c r="BK90" s="521"/>
      <c r="BL90" s="521"/>
      <c r="BM90" s="521"/>
      <c r="BN90" s="521"/>
      <c r="BO90" s="521"/>
      <c r="BP90" s="521"/>
      <c r="BQ90" s="521"/>
      <c r="BR90" s="521"/>
      <c r="BS90" s="522"/>
      <c r="BT90" s="520" t="s">
        <v>580</v>
      </c>
      <c r="BU90" s="521"/>
      <c r="BV90" s="521"/>
      <c r="BW90" s="521"/>
      <c r="BX90" s="521"/>
      <c r="BY90" s="521"/>
      <c r="BZ90" s="521"/>
      <c r="CA90" s="521"/>
      <c r="CB90" s="521"/>
      <c r="CC90" s="521"/>
      <c r="CD90" s="521"/>
      <c r="CE90" s="521"/>
      <c r="CF90" s="521"/>
      <c r="CG90" s="521"/>
      <c r="CH90" s="521"/>
      <c r="CI90" s="522"/>
      <c r="CJ90" s="520" t="s">
        <v>581</v>
      </c>
      <c r="CK90" s="521"/>
      <c r="CL90" s="521"/>
      <c r="CM90" s="521"/>
      <c r="CN90" s="521"/>
      <c r="CO90" s="521"/>
      <c r="CP90" s="521"/>
      <c r="CQ90" s="521"/>
      <c r="CR90" s="521"/>
      <c r="CS90" s="521"/>
      <c r="CT90" s="521"/>
      <c r="CU90" s="521"/>
      <c r="CV90" s="521"/>
      <c r="CW90" s="521"/>
      <c r="CX90" s="521"/>
      <c r="CY90" s="521"/>
      <c r="CZ90" s="521"/>
      <c r="DA90" s="522"/>
    </row>
    <row r="91" spans="1:109" s="180" customFormat="1" ht="12.75" x14ac:dyDescent="0.2">
      <c r="A91" s="515">
        <v>1</v>
      </c>
      <c r="B91" s="515"/>
      <c r="C91" s="515"/>
      <c r="D91" s="515"/>
      <c r="E91" s="515"/>
      <c r="F91" s="515"/>
      <c r="G91" s="515"/>
      <c r="H91" s="515">
        <v>2</v>
      </c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  <c r="X91" s="515"/>
      <c r="Y91" s="515"/>
      <c r="Z91" s="515"/>
      <c r="AA91" s="515"/>
      <c r="AB91" s="515"/>
      <c r="AC91" s="515"/>
      <c r="AD91" s="515"/>
      <c r="AE91" s="515"/>
      <c r="AF91" s="515"/>
      <c r="AG91" s="515"/>
      <c r="AH91" s="515"/>
      <c r="AI91" s="515"/>
      <c r="AJ91" s="515"/>
      <c r="AK91" s="515"/>
      <c r="AL91" s="515"/>
      <c r="AM91" s="515"/>
      <c r="AN91" s="515"/>
      <c r="AO91" s="515"/>
      <c r="AP91" s="515"/>
      <c r="AQ91" s="515"/>
      <c r="AR91" s="515"/>
      <c r="AS91" s="515"/>
      <c r="AT91" s="515"/>
      <c r="AU91" s="515"/>
      <c r="AV91" s="515"/>
      <c r="AW91" s="515"/>
      <c r="AX91" s="515"/>
      <c r="AY91" s="515"/>
      <c r="AZ91" s="515"/>
      <c r="BA91" s="515"/>
      <c r="BB91" s="515"/>
      <c r="BC91" s="515"/>
      <c r="BD91" s="515"/>
      <c r="BE91" s="515"/>
      <c r="BF91" s="515"/>
      <c r="BG91" s="515"/>
      <c r="BH91" s="515"/>
      <c r="BI91" s="515"/>
      <c r="BJ91" s="515"/>
      <c r="BK91" s="515"/>
      <c r="BL91" s="515"/>
      <c r="BM91" s="515"/>
      <c r="BN91" s="515"/>
      <c r="BO91" s="515"/>
      <c r="BP91" s="515"/>
      <c r="BQ91" s="515"/>
      <c r="BR91" s="515"/>
      <c r="BS91" s="515"/>
      <c r="BT91" s="515">
        <v>3</v>
      </c>
      <c r="BU91" s="515"/>
      <c r="BV91" s="515"/>
      <c r="BW91" s="515"/>
      <c r="BX91" s="515"/>
      <c r="BY91" s="515"/>
      <c r="BZ91" s="515"/>
      <c r="CA91" s="515"/>
      <c r="CB91" s="515"/>
      <c r="CC91" s="515"/>
      <c r="CD91" s="515"/>
      <c r="CE91" s="515"/>
      <c r="CF91" s="515"/>
      <c r="CG91" s="515"/>
      <c r="CH91" s="515"/>
      <c r="CI91" s="515"/>
      <c r="CJ91" s="515">
        <v>4</v>
      </c>
      <c r="CK91" s="515"/>
      <c r="CL91" s="515"/>
      <c r="CM91" s="515"/>
      <c r="CN91" s="515"/>
      <c r="CO91" s="515"/>
      <c r="CP91" s="515"/>
      <c r="CQ91" s="515"/>
      <c r="CR91" s="515"/>
      <c r="CS91" s="515"/>
      <c r="CT91" s="515"/>
      <c r="CU91" s="515"/>
      <c r="CV91" s="515"/>
      <c r="CW91" s="515"/>
      <c r="CX91" s="515"/>
      <c r="CY91" s="515"/>
      <c r="CZ91" s="515"/>
      <c r="DA91" s="515"/>
    </row>
    <row r="92" spans="1:109" ht="15" customHeight="1" x14ac:dyDescent="0.25">
      <c r="A92" s="508" t="s">
        <v>370</v>
      </c>
      <c r="B92" s="508"/>
      <c r="C92" s="508"/>
      <c r="D92" s="508"/>
      <c r="E92" s="508"/>
      <c r="F92" s="508"/>
      <c r="G92" s="508"/>
      <c r="H92" s="523" t="s">
        <v>582</v>
      </c>
      <c r="I92" s="524"/>
      <c r="J92" s="524"/>
      <c r="K92" s="524"/>
      <c r="L92" s="524"/>
      <c r="M92" s="524"/>
      <c r="N92" s="524"/>
      <c r="O92" s="524"/>
      <c r="P92" s="524"/>
      <c r="Q92" s="524"/>
      <c r="R92" s="524"/>
      <c r="S92" s="524"/>
      <c r="T92" s="524"/>
      <c r="U92" s="524"/>
      <c r="V92" s="524"/>
      <c r="W92" s="524"/>
      <c r="X92" s="524"/>
      <c r="Y92" s="524"/>
      <c r="Z92" s="524"/>
      <c r="AA92" s="524"/>
      <c r="AB92" s="524"/>
      <c r="AC92" s="524"/>
      <c r="AD92" s="524"/>
      <c r="AE92" s="524"/>
      <c r="AF92" s="524"/>
      <c r="AG92" s="524"/>
      <c r="AH92" s="524"/>
      <c r="AI92" s="524"/>
      <c r="AJ92" s="524"/>
      <c r="AK92" s="524"/>
      <c r="AL92" s="524"/>
      <c r="AM92" s="524"/>
      <c r="AN92" s="524"/>
      <c r="AO92" s="524"/>
      <c r="AP92" s="524"/>
      <c r="AQ92" s="524"/>
      <c r="AR92" s="524"/>
      <c r="AS92" s="524"/>
      <c r="AT92" s="524"/>
      <c r="AU92" s="524"/>
      <c r="AV92" s="524"/>
      <c r="AW92" s="524"/>
      <c r="AX92" s="524"/>
      <c r="AY92" s="524"/>
      <c r="AZ92" s="524"/>
      <c r="BA92" s="524"/>
      <c r="BB92" s="524"/>
      <c r="BC92" s="524"/>
      <c r="BD92" s="524"/>
      <c r="BE92" s="524"/>
      <c r="BF92" s="524"/>
      <c r="BG92" s="524"/>
      <c r="BH92" s="524"/>
      <c r="BI92" s="524"/>
      <c r="BJ92" s="524"/>
      <c r="BK92" s="524"/>
      <c r="BL92" s="524"/>
      <c r="BM92" s="524"/>
      <c r="BN92" s="524"/>
      <c r="BO92" s="524"/>
      <c r="BP92" s="524"/>
      <c r="BQ92" s="524"/>
      <c r="BR92" s="524"/>
      <c r="BS92" s="525"/>
      <c r="BT92" s="510"/>
      <c r="BU92" s="510"/>
      <c r="BV92" s="510"/>
      <c r="BW92" s="510"/>
      <c r="BX92" s="510"/>
      <c r="BY92" s="510"/>
      <c r="BZ92" s="510"/>
      <c r="CA92" s="510"/>
      <c r="CB92" s="510"/>
      <c r="CC92" s="510"/>
      <c r="CD92" s="510"/>
      <c r="CE92" s="510"/>
      <c r="CF92" s="510"/>
      <c r="CG92" s="510"/>
      <c r="CH92" s="510"/>
      <c r="CI92" s="510"/>
      <c r="CJ92" s="511">
        <f>'прочие услуги 226-046'!E13</f>
        <v>51400</v>
      </c>
      <c r="CK92" s="511"/>
      <c r="CL92" s="511"/>
      <c r="CM92" s="511"/>
      <c r="CN92" s="511"/>
      <c r="CO92" s="511"/>
      <c r="CP92" s="511"/>
      <c r="CQ92" s="511"/>
      <c r="CR92" s="511"/>
      <c r="CS92" s="511"/>
      <c r="CT92" s="511"/>
      <c r="CU92" s="511"/>
      <c r="CV92" s="511"/>
      <c r="CW92" s="511"/>
      <c r="CX92" s="511"/>
      <c r="CY92" s="511"/>
      <c r="CZ92" s="511"/>
      <c r="DA92" s="511"/>
    </row>
    <row r="93" spans="1:109" ht="15" customHeight="1" x14ac:dyDescent="0.25">
      <c r="A93" s="508" t="s">
        <v>377</v>
      </c>
      <c r="B93" s="508"/>
      <c r="C93" s="508"/>
      <c r="D93" s="508"/>
      <c r="E93" s="508"/>
      <c r="F93" s="508"/>
      <c r="G93" s="508"/>
      <c r="H93" s="523" t="s">
        <v>583</v>
      </c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24"/>
      <c r="AJ93" s="524"/>
      <c r="AK93" s="524"/>
      <c r="AL93" s="524"/>
      <c r="AM93" s="524"/>
      <c r="AN93" s="524"/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4"/>
      <c r="BA93" s="524"/>
      <c r="BB93" s="524"/>
      <c r="BC93" s="524"/>
      <c r="BD93" s="524"/>
      <c r="BE93" s="524"/>
      <c r="BF93" s="524"/>
      <c r="BG93" s="524"/>
      <c r="BH93" s="524"/>
      <c r="BI93" s="524"/>
      <c r="BJ93" s="524"/>
      <c r="BK93" s="524"/>
      <c r="BL93" s="524"/>
      <c r="BM93" s="524"/>
      <c r="BN93" s="524"/>
      <c r="BO93" s="524"/>
      <c r="BP93" s="524"/>
      <c r="BQ93" s="524"/>
      <c r="BR93" s="524"/>
      <c r="BS93" s="525"/>
      <c r="BT93" s="510"/>
      <c r="BU93" s="510"/>
      <c r="BV93" s="510"/>
      <c r="BW93" s="510"/>
      <c r="BX93" s="510"/>
      <c r="BY93" s="510"/>
      <c r="BZ93" s="510"/>
      <c r="CA93" s="510"/>
      <c r="CB93" s="510"/>
      <c r="CC93" s="510"/>
      <c r="CD93" s="510"/>
      <c r="CE93" s="510"/>
      <c r="CF93" s="510"/>
      <c r="CG93" s="510"/>
      <c r="CH93" s="510"/>
      <c r="CI93" s="510"/>
      <c r="CJ93" s="511">
        <f>'медосмотры 226-046'!AU6</f>
        <v>236418</v>
      </c>
      <c r="CK93" s="511"/>
      <c r="CL93" s="511"/>
      <c r="CM93" s="511"/>
      <c r="CN93" s="511"/>
      <c r="CO93" s="511"/>
      <c r="CP93" s="511"/>
      <c r="CQ93" s="511"/>
      <c r="CR93" s="511"/>
      <c r="CS93" s="511"/>
      <c r="CT93" s="511"/>
      <c r="CU93" s="511"/>
      <c r="CV93" s="511"/>
      <c r="CW93" s="511"/>
      <c r="CX93" s="511"/>
      <c r="CY93" s="511"/>
      <c r="CZ93" s="511"/>
      <c r="DA93" s="511"/>
    </row>
    <row r="94" spans="1:109" ht="15" customHeight="1" x14ac:dyDescent="0.25">
      <c r="A94" s="508" t="s">
        <v>394</v>
      </c>
      <c r="B94" s="508"/>
      <c r="C94" s="508"/>
      <c r="D94" s="508"/>
      <c r="E94" s="508"/>
      <c r="F94" s="508"/>
      <c r="G94" s="508"/>
      <c r="H94" s="523" t="s">
        <v>392</v>
      </c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  <c r="AK94" s="524"/>
      <c r="AL94" s="524"/>
      <c r="AM94" s="524"/>
      <c r="AN94" s="524"/>
      <c r="AO94" s="524"/>
      <c r="AP94" s="524"/>
      <c r="AQ94" s="524"/>
      <c r="AR94" s="524"/>
      <c r="AS94" s="524"/>
      <c r="AT94" s="524"/>
      <c r="AU94" s="524"/>
      <c r="AV94" s="524"/>
      <c r="AW94" s="524"/>
      <c r="AX94" s="524"/>
      <c r="AY94" s="524"/>
      <c r="AZ94" s="524"/>
      <c r="BA94" s="524"/>
      <c r="BB94" s="524"/>
      <c r="BC94" s="524"/>
      <c r="BD94" s="524"/>
      <c r="BE94" s="524"/>
      <c r="BF94" s="524"/>
      <c r="BG94" s="524"/>
      <c r="BH94" s="524"/>
      <c r="BI94" s="524"/>
      <c r="BJ94" s="524"/>
      <c r="BK94" s="524"/>
      <c r="BL94" s="524"/>
      <c r="BM94" s="524"/>
      <c r="BN94" s="524"/>
      <c r="BO94" s="524"/>
      <c r="BP94" s="524"/>
      <c r="BQ94" s="524"/>
      <c r="BR94" s="524"/>
      <c r="BS94" s="525"/>
      <c r="BT94" s="510"/>
      <c r="BU94" s="510"/>
      <c r="BV94" s="510"/>
      <c r="BW94" s="510"/>
      <c r="BX94" s="510"/>
      <c r="BY94" s="510"/>
      <c r="BZ94" s="510"/>
      <c r="CA94" s="510"/>
      <c r="CB94" s="510"/>
      <c r="CC94" s="510"/>
      <c r="CD94" s="510"/>
      <c r="CE94" s="510"/>
      <c r="CF94" s="510"/>
      <c r="CG94" s="510"/>
      <c r="CH94" s="510"/>
      <c r="CI94" s="510"/>
      <c r="CJ94" s="511">
        <f>'Повыш квалиф '!K7</f>
        <v>13500</v>
      </c>
      <c r="CK94" s="511"/>
      <c r="CL94" s="511"/>
      <c r="CM94" s="511"/>
      <c r="CN94" s="511"/>
      <c r="CO94" s="511"/>
      <c r="CP94" s="511"/>
      <c r="CQ94" s="511"/>
      <c r="CR94" s="511"/>
      <c r="CS94" s="511"/>
      <c r="CT94" s="511"/>
      <c r="CU94" s="511"/>
      <c r="CV94" s="511"/>
      <c r="CW94" s="511"/>
      <c r="CX94" s="511"/>
      <c r="CY94" s="511"/>
      <c r="CZ94" s="511"/>
      <c r="DA94" s="511"/>
    </row>
    <row r="95" spans="1:109" ht="15" customHeight="1" x14ac:dyDescent="0.25">
      <c r="A95" s="508" t="s">
        <v>397</v>
      </c>
      <c r="B95" s="508"/>
      <c r="C95" s="508"/>
      <c r="D95" s="508"/>
      <c r="E95" s="508"/>
      <c r="F95" s="508"/>
      <c r="G95" s="508"/>
      <c r="H95" s="523" t="s">
        <v>584</v>
      </c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4"/>
      <c r="AE95" s="524"/>
      <c r="AF95" s="524"/>
      <c r="AG95" s="524"/>
      <c r="AH95" s="524"/>
      <c r="AI95" s="524"/>
      <c r="AJ95" s="524"/>
      <c r="AK95" s="524"/>
      <c r="AL95" s="524"/>
      <c r="AM95" s="524"/>
      <c r="AN95" s="524"/>
      <c r="AO95" s="524"/>
      <c r="AP95" s="524"/>
      <c r="AQ95" s="524"/>
      <c r="AR95" s="524"/>
      <c r="AS95" s="524"/>
      <c r="AT95" s="524"/>
      <c r="AU95" s="524"/>
      <c r="AV95" s="524"/>
      <c r="AW95" s="524"/>
      <c r="AX95" s="524"/>
      <c r="AY95" s="524"/>
      <c r="AZ95" s="524"/>
      <c r="BA95" s="524"/>
      <c r="BB95" s="524"/>
      <c r="BC95" s="524"/>
      <c r="BD95" s="524"/>
      <c r="BE95" s="524"/>
      <c r="BF95" s="524"/>
      <c r="BG95" s="524"/>
      <c r="BH95" s="524"/>
      <c r="BI95" s="524"/>
      <c r="BJ95" s="524"/>
      <c r="BK95" s="524"/>
      <c r="BL95" s="524"/>
      <c r="BM95" s="524"/>
      <c r="BN95" s="524"/>
      <c r="BO95" s="524"/>
      <c r="BP95" s="524"/>
      <c r="BQ95" s="524"/>
      <c r="BR95" s="524"/>
      <c r="BS95" s="525"/>
      <c r="BT95" s="510"/>
      <c r="BU95" s="510"/>
      <c r="BV95" s="510"/>
      <c r="BW95" s="510"/>
      <c r="BX95" s="510"/>
      <c r="BY95" s="510"/>
      <c r="BZ95" s="510"/>
      <c r="CA95" s="510"/>
      <c r="CB95" s="510"/>
      <c r="CC95" s="510"/>
      <c r="CD95" s="510"/>
      <c r="CE95" s="510"/>
      <c r="CF95" s="510"/>
      <c r="CG95" s="510"/>
      <c r="CH95" s="510"/>
      <c r="CI95" s="510"/>
      <c r="CJ95" s="511">
        <f>'Техобслуживание 225-770 226-046'!E16</f>
        <v>228623</v>
      </c>
      <c r="CK95" s="511"/>
      <c r="CL95" s="511"/>
      <c r="CM95" s="511"/>
      <c r="CN95" s="511"/>
      <c r="CO95" s="511"/>
      <c r="CP95" s="511"/>
      <c r="CQ95" s="511"/>
      <c r="CR95" s="511"/>
      <c r="CS95" s="511"/>
      <c r="CT95" s="511"/>
      <c r="CU95" s="511"/>
      <c r="CV95" s="511"/>
      <c r="CW95" s="511"/>
      <c r="CX95" s="511"/>
      <c r="CY95" s="511"/>
      <c r="CZ95" s="511"/>
      <c r="DA95" s="511"/>
    </row>
    <row r="96" spans="1:109" ht="15" customHeight="1" x14ac:dyDescent="0.25">
      <c r="A96" s="508"/>
      <c r="B96" s="508"/>
      <c r="C96" s="508"/>
      <c r="D96" s="508"/>
      <c r="E96" s="508"/>
      <c r="F96" s="508"/>
      <c r="G96" s="508"/>
      <c r="H96" s="516" t="s">
        <v>521</v>
      </c>
      <c r="I96" s="517"/>
      <c r="J96" s="517"/>
      <c r="K96" s="517"/>
      <c r="L96" s="517"/>
      <c r="M96" s="517"/>
      <c r="N96" s="517"/>
      <c r="O96" s="517"/>
      <c r="P96" s="517"/>
      <c r="Q96" s="517"/>
      <c r="R96" s="517"/>
      <c r="S96" s="517"/>
      <c r="T96" s="517"/>
      <c r="U96" s="517"/>
      <c r="V96" s="517"/>
      <c r="W96" s="517"/>
      <c r="X96" s="517"/>
      <c r="Y96" s="517"/>
      <c r="Z96" s="517"/>
      <c r="AA96" s="517"/>
      <c r="AB96" s="517"/>
      <c r="AC96" s="517"/>
      <c r="AD96" s="517"/>
      <c r="AE96" s="517"/>
      <c r="AF96" s="517"/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517"/>
      <c r="AR96" s="517"/>
      <c r="AS96" s="517"/>
      <c r="AT96" s="517"/>
      <c r="AU96" s="517"/>
      <c r="AV96" s="517"/>
      <c r="AW96" s="517"/>
      <c r="AX96" s="517"/>
      <c r="AY96" s="517"/>
      <c r="AZ96" s="517"/>
      <c r="BA96" s="517"/>
      <c r="BB96" s="517"/>
      <c r="BC96" s="517"/>
      <c r="BD96" s="517"/>
      <c r="BE96" s="517"/>
      <c r="BF96" s="517"/>
      <c r="BG96" s="517"/>
      <c r="BH96" s="517"/>
      <c r="BI96" s="517"/>
      <c r="BJ96" s="517"/>
      <c r="BK96" s="517"/>
      <c r="BL96" s="517"/>
      <c r="BM96" s="517"/>
      <c r="BN96" s="517"/>
      <c r="BO96" s="517"/>
      <c r="BP96" s="517"/>
      <c r="BQ96" s="517"/>
      <c r="BR96" s="517"/>
      <c r="BS96" s="518"/>
      <c r="BT96" s="510" t="s">
        <v>494</v>
      </c>
      <c r="BU96" s="510"/>
      <c r="BV96" s="510"/>
      <c r="BW96" s="510"/>
      <c r="BX96" s="510"/>
      <c r="BY96" s="510"/>
      <c r="BZ96" s="510"/>
      <c r="CA96" s="510"/>
      <c r="CB96" s="510"/>
      <c r="CC96" s="510"/>
      <c r="CD96" s="510"/>
      <c r="CE96" s="510"/>
      <c r="CF96" s="510"/>
      <c r="CG96" s="510"/>
      <c r="CH96" s="510"/>
      <c r="CI96" s="510"/>
      <c r="CJ96" s="514">
        <f>CJ92+CJ93+CJ95+CJ94</f>
        <v>529941</v>
      </c>
      <c r="CK96" s="514"/>
      <c r="CL96" s="514"/>
      <c r="CM96" s="514"/>
      <c r="CN96" s="514"/>
      <c r="CO96" s="514"/>
      <c r="CP96" s="514"/>
      <c r="CQ96" s="514"/>
      <c r="CR96" s="514"/>
      <c r="CS96" s="514"/>
      <c r="CT96" s="514"/>
      <c r="CU96" s="514"/>
      <c r="CV96" s="514"/>
      <c r="CW96" s="514"/>
      <c r="CX96" s="514"/>
      <c r="CY96" s="514"/>
      <c r="CZ96" s="514"/>
      <c r="DA96" s="514"/>
      <c r="DE96" s="252">
        <v>226</v>
      </c>
    </row>
    <row r="98" spans="1:110" ht="12" customHeight="1" x14ac:dyDescent="0.25">
      <c r="DE98" s="253"/>
    </row>
    <row r="99" spans="1:110" s="248" customFormat="1" ht="28.5" customHeight="1" x14ac:dyDescent="0.2">
      <c r="A99" s="519" t="s">
        <v>585</v>
      </c>
      <c r="B99" s="519"/>
      <c r="C99" s="519"/>
      <c r="D99" s="519"/>
      <c r="E99" s="519"/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  <c r="AE99" s="519"/>
      <c r="AF99" s="519"/>
      <c r="AG99" s="519"/>
      <c r="AH99" s="519"/>
      <c r="AI99" s="519"/>
      <c r="AJ99" s="519"/>
      <c r="AK99" s="519"/>
      <c r="AL99" s="519"/>
      <c r="AM99" s="519"/>
      <c r="AN99" s="519"/>
      <c r="AO99" s="519"/>
      <c r="AP99" s="519"/>
      <c r="AQ99" s="519"/>
      <c r="AR99" s="519"/>
      <c r="AS99" s="519"/>
      <c r="AT99" s="519"/>
      <c r="AU99" s="519"/>
      <c r="AV99" s="519"/>
      <c r="AW99" s="519"/>
      <c r="AX99" s="519"/>
      <c r="AY99" s="519"/>
      <c r="AZ99" s="519"/>
      <c r="BA99" s="519"/>
      <c r="BB99" s="519"/>
      <c r="BC99" s="519"/>
      <c r="BD99" s="519"/>
      <c r="BE99" s="519"/>
      <c r="BF99" s="519"/>
      <c r="BG99" s="519"/>
      <c r="BH99" s="519"/>
      <c r="BI99" s="519"/>
      <c r="BJ99" s="519"/>
      <c r="BK99" s="519"/>
      <c r="BL99" s="519"/>
      <c r="BM99" s="519"/>
      <c r="BN99" s="519"/>
      <c r="BO99" s="519"/>
      <c r="BP99" s="519"/>
      <c r="BQ99" s="519"/>
      <c r="BR99" s="519"/>
      <c r="BS99" s="519"/>
      <c r="BT99" s="519"/>
      <c r="BU99" s="519"/>
      <c r="BV99" s="519"/>
      <c r="BW99" s="519"/>
      <c r="BX99" s="519"/>
      <c r="BY99" s="519"/>
      <c r="BZ99" s="519"/>
      <c r="CA99" s="519"/>
      <c r="CB99" s="519"/>
      <c r="CC99" s="519"/>
      <c r="CD99" s="519"/>
      <c r="CE99" s="519"/>
      <c r="CF99" s="519"/>
      <c r="CG99" s="519"/>
      <c r="CH99" s="519"/>
      <c r="CI99" s="519"/>
      <c r="CJ99" s="519"/>
      <c r="CK99" s="519"/>
      <c r="CL99" s="519"/>
      <c r="CM99" s="519"/>
      <c r="CN99" s="519"/>
      <c r="CO99" s="519"/>
      <c r="CP99" s="519"/>
      <c r="CQ99" s="519"/>
      <c r="CR99" s="519"/>
      <c r="CS99" s="519"/>
      <c r="CT99" s="519"/>
      <c r="CU99" s="519"/>
      <c r="CV99" s="519"/>
      <c r="CW99" s="519"/>
      <c r="CX99" s="519"/>
      <c r="CY99" s="519"/>
      <c r="CZ99" s="519"/>
      <c r="DA99" s="519"/>
      <c r="DE99" s="249"/>
    </row>
    <row r="100" spans="1:110" ht="10.5" customHeight="1" x14ac:dyDescent="0.25">
      <c r="DE100" s="250"/>
    </row>
    <row r="101" spans="1:110" s="251" customFormat="1" ht="30" customHeight="1" x14ac:dyDescent="0.25">
      <c r="A101" s="520" t="s">
        <v>176</v>
      </c>
      <c r="B101" s="521"/>
      <c r="C101" s="521"/>
      <c r="D101" s="521"/>
      <c r="E101" s="521"/>
      <c r="F101" s="521"/>
      <c r="G101" s="522"/>
      <c r="H101" s="520" t="s">
        <v>549</v>
      </c>
      <c r="I101" s="521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1"/>
      <c r="AL101" s="521"/>
      <c r="AM101" s="521"/>
      <c r="AN101" s="521"/>
      <c r="AO101" s="521"/>
      <c r="AP101" s="521"/>
      <c r="AQ101" s="521"/>
      <c r="AR101" s="521"/>
      <c r="AS101" s="521"/>
      <c r="AT101" s="521"/>
      <c r="AU101" s="521"/>
      <c r="AV101" s="521"/>
      <c r="AW101" s="521"/>
      <c r="AX101" s="521"/>
      <c r="AY101" s="521"/>
      <c r="AZ101" s="521"/>
      <c r="BA101" s="521"/>
      <c r="BB101" s="521"/>
      <c r="BC101" s="522"/>
      <c r="BD101" s="520" t="s">
        <v>2</v>
      </c>
      <c r="BE101" s="521"/>
      <c r="BF101" s="521"/>
      <c r="BG101" s="521"/>
      <c r="BH101" s="521"/>
      <c r="BI101" s="521"/>
      <c r="BJ101" s="521"/>
      <c r="BK101" s="521"/>
      <c r="BL101" s="521"/>
      <c r="BM101" s="521"/>
      <c r="BN101" s="521"/>
      <c r="BO101" s="521"/>
      <c r="BP101" s="521"/>
      <c r="BQ101" s="521"/>
      <c r="BR101" s="521"/>
      <c r="BS101" s="522"/>
      <c r="BT101" s="520" t="s">
        <v>586</v>
      </c>
      <c r="BU101" s="521"/>
      <c r="BV101" s="521"/>
      <c r="BW101" s="521"/>
      <c r="BX101" s="521"/>
      <c r="BY101" s="521"/>
      <c r="BZ101" s="521"/>
      <c r="CA101" s="521"/>
      <c r="CB101" s="521"/>
      <c r="CC101" s="521"/>
      <c r="CD101" s="521"/>
      <c r="CE101" s="521"/>
      <c r="CF101" s="521"/>
      <c r="CG101" s="521"/>
      <c r="CH101" s="521"/>
      <c r="CI101" s="522"/>
      <c r="CJ101" s="520" t="s">
        <v>587</v>
      </c>
      <c r="CK101" s="521"/>
      <c r="CL101" s="521"/>
      <c r="CM101" s="521"/>
      <c r="CN101" s="521"/>
      <c r="CO101" s="521"/>
      <c r="CP101" s="521"/>
      <c r="CQ101" s="521"/>
      <c r="CR101" s="521"/>
      <c r="CS101" s="521"/>
      <c r="CT101" s="521"/>
      <c r="CU101" s="521"/>
      <c r="CV101" s="521"/>
      <c r="CW101" s="521"/>
      <c r="CX101" s="521"/>
      <c r="CY101" s="521"/>
      <c r="CZ101" s="521"/>
      <c r="DA101" s="522"/>
      <c r="DE101" s="250"/>
    </row>
    <row r="102" spans="1:110" s="187" customFormat="1" ht="12.75" x14ac:dyDescent="0.25">
      <c r="A102" s="515"/>
      <c r="B102" s="515"/>
      <c r="C102" s="515"/>
      <c r="D102" s="515"/>
      <c r="E102" s="515"/>
      <c r="F102" s="515"/>
      <c r="G102" s="515"/>
      <c r="H102" s="515">
        <v>1</v>
      </c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  <c r="AA102" s="515"/>
      <c r="AB102" s="515"/>
      <c r="AC102" s="515"/>
      <c r="AD102" s="515"/>
      <c r="AE102" s="515"/>
      <c r="AF102" s="515"/>
      <c r="AG102" s="515"/>
      <c r="AH102" s="515"/>
      <c r="AI102" s="515"/>
      <c r="AJ102" s="515"/>
      <c r="AK102" s="515"/>
      <c r="AL102" s="515"/>
      <c r="AM102" s="515"/>
      <c r="AN102" s="515"/>
      <c r="AO102" s="515"/>
      <c r="AP102" s="515"/>
      <c r="AQ102" s="515"/>
      <c r="AR102" s="515"/>
      <c r="AS102" s="515"/>
      <c r="AT102" s="515"/>
      <c r="AU102" s="515"/>
      <c r="AV102" s="515"/>
      <c r="AW102" s="515"/>
      <c r="AX102" s="515"/>
      <c r="AY102" s="515"/>
      <c r="AZ102" s="515"/>
      <c r="BA102" s="515"/>
      <c r="BB102" s="515"/>
      <c r="BC102" s="515"/>
      <c r="BD102" s="515">
        <v>2</v>
      </c>
      <c r="BE102" s="515"/>
      <c r="BF102" s="515"/>
      <c r="BG102" s="515"/>
      <c r="BH102" s="515"/>
      <c r="BI102" s="515"/>
      <c r="BJ102" s="515"/>
      <c r="BK102" s="515"/>
      <c r="BL102" s="515"/>
      <c r="BM102" s="515"/>
      <c r="BN102" s="515"/>
      <c r="BO102" s="515"/>
      <c r="BP102" s="515"/>
      <c r="BQ102" s="515"/>
      <c r="BR102" s="515"/>
      <c r="BS102" s="515"/>
      <c r="BT102" s="515">
        <v>3</v>
      </c>
      <c r="BU102" s="515"/>
      <c r="BV102" s="515"/>
      <c r="BW102" s="515"/>
      <c r="BX102" s="515"/>
      <c r="BY102" s="515"/>
      <c r="BZ102" s="515"/>
      <c r="CA102" s="515"/>
      <c r="CB102" s="515"/>
      <c r="CC102" s="515"/>
      <c r="CD102" s="515"/>
      <c r="CE102" s="515"/>
      <c r="CF102" s="515"/>
      <c r="CG102" s="515"/>
      <c r="CH102" s="515"/>
      <c r="CI102" s="515"/>
      <c r="CJ102" s="515">
        <v>4</v>
      </c>
      <c r="CK102" s="515"/>
      <c r="CL102" s="515"/>
      <c r="CM102" s="515"/>
      <c r="CN102" s="515"/>
      <c r="CO102" s="515"/>
      <c r="CP102" s="515"/>
      <c r="CQ102" s="515"/>
      <c r="CR102" s="515"/>
      <c r="CS102" s="515"/>
      <c r="CT102" s="515"/>
      <c r="CU102" s="515"/>
      <c r="CV102" s="515"/>
      <c r="CW102" s="515"/>
      <c r="CX102" s="515"/>
      <c r="CY102" s="515"/>
      <c r="CZ102" s="515"/>
      <c r="DA102" s="515"/>
      <c r="DE102" s="250"/>
    </row>
    <row r="103" spans="1:110" s="250" customFormat="1" ht="28.5" customHeight="1" x14ac:dyDescent="0.25">
      <c r="A103" s="508" t="s">
        <v>588</v>
      </c>
      <c r="B103" s="508"/>
      <c r="C103" s="508"/>
      <c r="D103" s="508"/>
      <c r="E103" s="508"/>
      <c r="F103" s="508"/>
      <c r="G103" s="508"/>
      <c r="H103" s="509" t="s">
        <v>589</v>
      </c>
      <c r="I103" s="509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/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/>
      <c r="AM103" s="509"/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509"/>
      <c r="AY103" s="509"/>
      <c r="AZ103" s="509"/>
      <c r="BA103" s="509"/>
      <c r="BB103" s="509"/>
      <c r="BC103" s="509"/>
      <c r="BD103" s="510"/>
      <c r="BE103" s="510"/>
      <c r="BF103" s="510"/>
      <c r="BG103" s="510"/>
      <c r="BH103" s="510"/>
      <c r="BI103" s="510"/>
      <c r="BJ103" s="510"/>
      <c r="BK103" s="510"/>
      <c r="BL103" s="510"/>
      <c r="BM103" s="510"/>
      <c r="BN103" s="510"/>
      <c r="BO103" s="510"/>
      <c r="BP103" s="510"/>
      <c r="BQ103" s="510"/>
      <c r="BR103" s="510"/>
      <c r="BS103" s="510"/>
      <c r="BT103" s="510"/>
      <c r="BU103" s="510"/>
      <c r="BV103" s="510"/>
      <c r="BW103" s="510"/>
      <c r="BX103" s="510"/>
      <c r="BY103" s="510"/>
      <c r="BZ103" s="510"/>
      <c r="CA103" s="510"/>
      <c r="CB103" s="510"/>
      <c r="CC103" s="510"/>
      <c r="CD103" s="510"/>
      <c r="CE103" s="510"/>
      <c r="CF103" s="510"/>
      <c r="CG103" s="510"/>
      <c r="CH103" s="510"/>
      <c r="CI103" s="510"/>
      <c r="CJ103" s="514">
        <f>'учебники  310-045'!D45+'Основ средства 310-914'!D14</f>
        <v>138915</v>
      </c>
      <c r="CK103" s="514"/>
      <c r="CL103" s="514"/>
      <c r="CM103" s="514"/>
      <c r="CN103" s="514"/>
      <c r="CO103" s="514"/>
      <c r="CP103" s="514"/>
      <c r="CQ103" s="514"/>
      <c r="CR103" s="514"/>
      <c r="CS103" s="514"/>
      <c r="CT103" s="514"/>
      <c r="CU103" s="514"/>
      <c r="CV103" s="514"/>
      <c r="CW103" s="514"/>
      <c r="CX103" s="514"/>
      <c r="CY103" s="514"/>
      <c r="CZ103" s="514"/>
      <c r="DA103" s="514"/>
    </row>
    <row r="104" spans="1:110" s="250" customFormat="1" ht="28.5" customHeight="1" x14ac:dyDescent="0.25">
      <c r="A104" s="508" t="s">
        <v>590</v>
      </c>
      <c r="B104" s="508"/>
      <c r="C104" s="508"/>
      <c r="D104" s="508"/>
      <c r="E104" s="508"/>
      <c r="F104" s="508"/>
      <c r="G104" s="508"/>
      <c r="H104" s="509" t="s">
        <v>591</v>
      </c>
      <c r="I104" s="509"/>
      <c r="J104" s="509"/>
      <c r="K104" s="509"/>
      <c r="L104" s="509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09"/>
      <c r="AA104" s="509"/>
      <c r="AB104" s="509"/>
      <c r="AC104" s="509"/>
      <c r="AD104" s="509"/>
      <c r="AE104" s="509"/>
      <c r="AF104" s="509"/>
      <c r="AG104" s="509"/>
      <c r="AH104" s="509"/>
      <c r="AI104" s="509"/>
      <c r="AJ104" s="509"/>
      <c r="AK104" s="509"/>
      <c r="AL104" s="509"/>
      <c r="AM104" s="509"/>
      <c r="AN104" s="509"/>
      <c r="AO104" s="509"/>
      <c r="AP104" s="509"/>
      <c r="AQ104" s="509"/>
      <c r="AR104" s="509"/>
      <c r="AS104" s="509"/>
      <c r="AT104" s="509"/>
      <c r="AU104" s="509"/>
      <c r="AV104" s="509"/>
      <c r="AW104" s="509"/>
      <c r="AX104" s="509"/>
      <c r="AY104" s="509"/>
      <c r="AZ104" s="509"/>
      <c r="BA104" s="509"/>
      <c r="BB104" s="509"/>
      <c r="BC104" s="509"/>
      <c r="BD104" s="510"/>
      <c r="BE104" s="510"/>
      <c r="BF104" s="510"/>
      <c r="BG104" s="510"/>
      <c r="BH104" s="510"/>
      <c r="BI104" s="510"/>
      <c r="BJ104" s="510"/>
      <c r="BK104" s="510"/>
      <c r="BL104" s="510"/>
      <c r="BM104" s="510"/>
      <c r="BN104" s="510"/>
      <c r="BO104" s="510"/>
      <c r="BP104" s="510"/>
      <c r="BQ104" s="510"/>
      <c r="BR104" s="510"/>
      <c r="BS104" s="510"/>
      <c r="BT104" s="510"/>
      <c r="BU104" s="510"/>
      <c r="BV104" s="510"/>
      <c r="BW104" s="510"/>
      <c r="BX104" s="510"/>
      <c r="BY104" s="510"/>
      <c r="BZ104" s="510"/>
      <c r="CA104" s="510"/>
      <c r="CB104" s="510"/>
      <c r="CC104" s="510"/>
      <c r="CD104" s="510"/>
      <c r="CE104" s="510"/>
      <c r="CF104" s="510"/>
      <c r="CG104" s="510"/>
      <c r="CH104" s="510"/>
      <c r="CI104" s="510"/>
      <c r="CJ104" s="511">
        <f>'медикаменты 341-510'!D39</f>
        <v>13880</v>
      </c>
      <c r="CK104" s="511"/>
      <c r="CL104" s="511"/>
      <c r="CM104" s="511"/>
      <c r="CN104" s="511"/>
      <c r="CO104" s="511"/>
      <c r="CP104" s="511"/>
      <c r="CQ104" s="511"/>
      <c r="CR104" s="511"/>
      <c r="CS104" s="511"/>
      <c r="CT104" s="511"/>
      <c r="CU104" s="511"/>
      <c r="CV104" s="511"/>
      <c r="CW104" s="511"/>
      <c r="CX104" s="511"/>
      <c r="CY104" s="511"/>
      <c r="CZ104" s="511"/>
      <c r="DA104" s="511"/>
    </row>
    <row r="105" spans="1:110" s="250" customFormat="1" ht="21.75" customHeight="1" x14ac:dyDescent="0.25">
      <c r="A105" s="508" t="s">
        <v>592</v>
      </c>
      <c r="B105" s="508"/>
      <c r="C105" s="508"/>
      <c r="D105" s="508"/>
      <c r="E105" s="508"/>
      <c r="F105" s="508"/>
      <c r="G105" s="508"/>
      <c r="H105" s="509" t="s">
        <v>593</v>
      </c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509"/>
      <c r="U105" s="509"/>
      <c r="V105" s="509"/>
      <c r="W105" s="509"/>
      <c r="X105" s="509"/>
      <c r="Y105" s="509"/>
      <c r="Z105" s="509"/>
      <c r="AA105" s="509"/>
      <c r="AB105" s="509"/>
      <c r="AC105" s="509"/>
      <c r="AD105" s="509"/>
      <c r="AE105" s="509"/>
      <c r="AF105" s="509"/>
      <c r="AG105" s="509"/>
      <c r="AH105" s="509"/>
      <c r="AI105" s="509"/>
      <c r="AJ105" s="509"/>
      <c r="AK105" s="509"/>
      <c r="AL105" s="509"/>
      <c r="AM105" s="509"/>
      <c r="AN105" s="509"/>
      <c r="AO105" s="509"/>
      <c r="AP105" s="509"/>
      <c r="AQ105" s="509"/>
      <c r="AR105" s="509"/>
      <c r="AS105" s="509"/>
      <c r="AT105" s="509"/>
      <c r="AU105" s="509"/>
      <c r="AV105" s="509"/>
      <c r="AW105" s="509"/>
      <c r="AX105" s="509"/>
      <c r="AY105" s="509"/>
      <c r="AZ105" s="509"/>
      <c r="BA105" s="509"/>
      <c r="BB105" s="509"/>
      <c r="BC105" s="509"/>
      <c r="BD105" s="510"/>
      <c r="BE105" s="510"/>
      <c r="BF105" s="510"/>
      <c r="BG105" s="510"/>
      <c r="BH105" s="510"/>
      <c r="BI105" s="510"/>
      <c r="BJ105" s="510"/>
      <c r="BK105" s="510"/>
      <c r="BL105" s="510"/>
      <c r="BM105" s="510"/>
      <c r="BN105" s="510"/>
      <c r="BO105" s="510"/>
      <c r="BP105" s="510"/>
      <c r="BQ105" s="510"/>
      <c r="BR105" s="510"/>
      <c r="BS105" s="510"/>
      <c r="BT105" s="510"/>
      <c r="BU105" s="510"/>
      <c r="BV105" s="510"/>
      <c r="BW105" s="510"/>
      <c r="BX105" s="510"/>
      <c r="BY105" s="510"/>
      <c r="BZ105" s="510"/>
      <c r="CA105" s="510"/>
      <c r="CB105" s="510"/>
      <c r="CC105" s="510"/>
      <c r="CD105" s="510"/>
      <c r="CE105" s="510"/>
      <c r="CF105" s="510"/>
      <c r="CG105" s="510"/>
      <c r="CH105" s="510"/>
      <c r="CI105" s="510"/>
      <c r="CJ105" s="511"/>
      <c r="CK105" s="511"/>
      <c r="CL105" s="511"/>
      <c r="CM105" s="511"/>
      <c r="CN105" s="511"/>
      <c r="CO105" s="511"/>
      <c r="CP105" s="511"/>
      <c r="CQ105" s="511"/>
      <c r="CR105" s="511"/>
      <c r="CS105" s="511"/>
      <c r="CT105" s="511"/>
      <c r="CU105" s="511"/>
      <c r="CV105" s="511"/>
      <c r="CW105" s="511"/>
      <c r="CX105" s="511"/>
      <c r="CY105" s="511"/>
      <c r="CZ105" s="511"/>
      <c r="DA105" s="511"/>
    </row>
    <row r="106" spans="1:110" s="250" customFormat="1" ht="25.5" customHeight="1" x14ac:dyDescent="0.25">
      <c r="A106" s="508" t="s">
        <v>594</v>
      </c>
      <c r="B106" s="508"/>
      <c r="C106" s="508"/>
      <c r="D106" s="508"/>
      <c r="E106" s="508"/>
      <c r="F106" s="508"/>
      <c r="G106" s="508"/>
      <c r="H106" s="509" t="s">
        <v>595</v>
      </c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09"/>
      <c r="AN106" s="509"/>
      <c r="AO106" s="509"/>
      <c r="AP106" s="509"/>
      <c r="AQ106" s="509"/>
      <c r="AR106" s="509"/>
      <c r="AS106" s="509"/>
      <c r="AT106" s="509"/>
      <c r="AU106" s="509"/>
      <c r="AV106" s="509"/>
      <c r="AW106" s="509"/>
      <c r="AX106" s="509"/>
      <c r="AY106" s="509"/>
      <c r="AZ106" s="509"/>
      <c r="BA106" s="509"/>
      <c r="BB106" s="509"/>
      <c r="BC106" s="509"/>
      <c r="BD106" s="510"/>
      <c r="BE106" s="510"/>
      <c r="BF106" s="510"/>
      <c r="BG106" s="510"/>
      <c r="BH106" s="510"/>
      <c r="BI106" s="510"/>
      <c r="BJ106" s="510"/>
      <c r="BK106" s="510"/>
      <c r="BL106" s="510"/>
      <c r="BM106" s="510"/>
      <c r="BN106" s="510"/>
      <c r="BO106" s="510"/>
      <c r="BP106" s="510"/>
      <c r="BQ106" s="510"/>
      <c r="BR106" s="510"/>
      <c r="BS106" s="510"/>
      <c r="BT106" s="510"/>
      <c r="BU106" s="510"/>
      <c r="BV106" s="510"/>
      <c r="BW106" s="510"/>
      <c r="BX106" s="510"/>
      <c r="BY106" s="510"/>
      <c r="BZ106" s="510"/>
      <c r="CA106" s="510"/>
      <c r="CB106" s="510"/>
      <c r="CC106" s="510"/>
      <c r="CD106" s="510"/>
      <c r="CE106" s="510"/>
      <c r="CF106" s="510"/>
      <c r="CG106" s="510"/>
      <c r="CH106" s="510"/>
      <c r="CI106" s="510"/>
      <c r="CJ106" s="511">
        <f>'ГСМ 343-540'!D17</f>
        <v>38197.894999999997</v>
      </c>
      <c r="CK106" s="511"/>
      <c r="CL106" s="511"/>
      <c r="CM106" s="511"/>
      <c r="CN106" s="511"/>
      <c r="CO106" s="511"/>
      <c r="CP106" s="511"/>
      <c r="CQ106" s="511"/>
      <c r="CR106" s="511"/>
      <c r="CS106" s="511"/>
      <c r="CT106" s="511"/>
      <c r="CU106" s="511"/>
      <c r="CV106" s="511"/>
      <c r="CW106" s="511"/>
      <c r="CX106" s="511"/>
      <c r="CY106" s="511"/>
      <c r="CZ106" s="511"/>
      <c r="DA106" s="511"/>
    </row>
    <row r="107" spans="1:110" s="250" customFormat="1" ht="15" customHeight="1" x14ac:dyDescent="0.25">
      <c r="A107" s="508" t="s">
        <v>596</v>
      </c>
      <c r="B107" s="508"/>
      <c r="C107" s="508"/>
      <c r="D107" s="508"/>
      <c r="E107" s="508"/>
      <c r="F107" s="508"/>
      <c r="G107" s="508"/>
      <c r="H107" s="509" t="s">
        <v>597</v>
      </c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  <c r="Z107" s="509"/>
      <c r="AA107" s="509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509"/>
      <c r="AL107" s="509"/>
      <c r="AM107" s="509"/>
      <c r="AN107" s="509"/>
      <c r="AO107" s="509"/>
      <c r="AP107" s="509"/>
      <c r="AQ107" s="509"/>
      <c r="AR107" s="509"/>
      <c r="AS107" s="509"/>
      <c r="AT107" s="509"/>
      <c r="AU107" s="509"/>
      <c r="AV107" s="509"/>
      <c r="AW107" s="509"/>
      <c r="AX107" s="509"/>
      <c r="AY107" s="509"/>
      <c r="AZ107" s="509"/>
      <c r="BA107" s="509"/>
      <c r="BB107" s="509"/>
      <c r="BC107" s="509"/>
      <c r="BD107" s="510"/>
      <c r="BE107" s="510"/>
      <c r="BF107" s="510"/>
      <c r="BG107" s="510"/>
      <c r="BH107" s="510"/>
      <c r="BI107" s="510"/>
      <c r="BJ107" s="510"/>
      <c r="BK107" s="510"/>
      <c r="BL107" s="510"/>
      <c r="BM107" s="510"/>
      <c r="BN107" s="510"/>
      <c r="BO107" s="510"/>
      <c r="BP107" s="510"/>
      <c r="BQ107" s="510"/>
      <c r="BR107" s="510"/>
      <c r="BS107" s="510"/>
      <c r="BT107" s="510"/>
      <c r="BU107" s="510"/>
      <c r="BV107" s="510"/>
      <c r="BW107" s="510"/>
      <c r="BX107" s="510"/>
      <c r="BY107" s="510"/>
      <c r="BZ107" s="510"/>
      <c r="CA107" s="510"/>
      <c r="CB107" s="510"/>
      <c r="CC107" s="510"/>
      <c r="CD107" s="510"/>
      <c r="CE107" s="510"/>
      <c r="CF107" s="510"/>
      <c r="CG107" s="510"/>
      <c r="CH107" s="510"/>
      <c r="CI107" s="510"/>
      <c r="CJ107" s="511">
        <f>'344'!D13</f>
        <v>19550</v>
      </c>
      <c r="CK107" s="511"/>
      <c r="CL107" s="511"/>
      <c r="CM107" s="511"/>
      <c r="CN107" s="511"/>
      <c r="CO107" s="511"/>
      <c r="CP107" s="511"/>
      <c r="CQ107" s="511"/>
      <c r="CR107" s="511"/>
      <c r="CS107" s="511"/>
      <c r="CT107" s="511"/>
      <c r="CU107" s="511"/>
      <c r="CV107" s="511"/>
      <c r="CW107" s="511"/>
      <c r="CX107" s="511"/>
      <c r="CY107" s="511"/>
      <c r="CZ107" s="511"/>
      <c r="DA107" s="511"/>
    </row>
    <row r="108" spans="1:110" s="250" customFormat="1" ht="15" customHeight="1" x14ac:dyDescent="0.25">
      <c r="A108" s="508" t="s">
        <v>598</v>
      </c>
      <c r="B108" s="508"/>
      <c r="C108" s="508"/>
      <c r="D108" s="508"/>
      <c r="E108" s="508"/>
      <c r="F108" s="508"/>
      <c r="G108" s="508"/>
      <c r="H108" s="509" t="s">
        <v>599</v>
      </c>
      <c r="I108" s="509"/>
      <c r="J108" s="509"/>
      <c r="K108" s="509"/>
      <c r="L108" s="509"/>
      <c r="M108" s="509"/>
      <c r="N108" s="509"/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  <c r="Z108" s="509"/>
      <c r="AA108" s="509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509"/>
      <c r="AL108" s="509"/>
      <c r="AM108" s="509"/>
      <c r="AN108" s="509"/>
      <c r="AO108" s="509"/>
      <c r="AP108" s="509"/>
      <c r="AQ108" s="509"/>
      <c r="AR108" s="509"/>
      <c r="AS108" s="509"/>
      <c r="AT108" s="509"/>
      <c r="AU108" s="509"/>
      <c r="AV108" s="509"/>
      <c r="AW108" s="509"/>
      <c r="AX108" s="509"/>
      <c r="AY108" s="509"/>
      <c r="AZ108" s="509"/>
      <c r="BA108" s="509"/>
      <c r="BB108" s="509"/>
      <c r="BC108" s="509"/>
      <c r="BD108" s="510"/>
      <c r="BE108" s="510"/>
      <c r="BF108" s="510"/>
      <c r="BG108" s="510"/>
      <c r="BH108" s="510"/>
      <c r="BI108" s="510"/>
      <c r="BJ108" s="510"/>
      <c r="BK108" s="510"/>
      <c r="BL108" s="510"/>
      <c r="BM108" s="510"/>
      <c r="BN108" s="510"/>
      <c r="BO108" s="510"/>
      <c r="BP108" s="510"/>
      <c r="BQ108" s="510"/>
      <c r="BR108" s="510"/>
      <c r="BS108" s="510"/>
      <c r="BT108" s="510"/>
      <c r="BU108" s="510"/>
      <c r="BV108" s="510"/>
      <c r="BW108" s="510"/>
      <c r="BX108" s="510"/>
      <c r="BY108" s="510"/>
      <c r="BZ108" s="510"/>
      <c r="CA108" s="510"/>
      <c r="CB108" s="510"/>
      <c r="CC108" s="510"/>
      <c r="CD108" s="510"/>
      <c r="CE108" s="510"/>
      <c r="CF108" s="510"/>
      <c r="CG108" s="510"/>
      <c r="CH108" s="510"/>
      <c r="CI108" s="510"/>
      <c r="CJ108" s="511">
        <f>'мягкий инв 345-520'!D22</f>
        <v>47115.057999999997</v>
      </c>
      <c r="CK108" s="511"/>
      <c r="CL108" s="511"/>
      <c r="CM108" s="511"/>
      <c r="CN108" s="511"/>
      <c r="CO108" s="511"/>
      <c r="CP108" s="511"/>
      <c r="CQ108" s="511"/>
      <c r="CR108" s="511"/>
      <c r="CS108" s="511"/>
      <c r="CT108" s="511"/>
      <c r="CU108" s="511"/>
      <c r="CV108" s="511"/>
      <c r="CW108" s="511"/>
      <c r="CX108" s="511"/>
      <c r="CY108" s="511"/>
      <c r="CZ108" s="511"/>
      <c r="DA108" s="511"/>
    </row>
    <row r="109" spans="1:110" s="250" customFormat="1" ht="26.25" customHeight="1" x14ac:dyDescent="0.2">
      <c r="A109" s="508" t="s">
        <v>600</v>
      </c>
      <c r="B109" s="508"/>
      <c r="C109" s="508"/>
      <c r="D109" s="508"/>
      <c r="E109" s="508"/>
      <c r="F109" s="508"/>
      <c r="G109" s="508"/>
      <c r="H109" s="509" t="s">
        <v>601</v>
      </c>
      <c r="I109" s="509"/>
      <c r="J109" s="509"/>
      <c r="K109" s="509"/>
      <c r="L109" s="509"/>
      <c r="M109" s="509"/>
      <c r="N109" s="509"/>
      <c r="O109" s="509"/>
      <c r="P109" s="509"/>
      <c r="Q109" s="509"/>
      <c r="R109" s="509"/>
      <c r="S109" s="509"/>
      <c r="T109" s="509"/>
      <c r="U109" s="509"/>
      <c r="V109" s="509"/>
      <c r="W109" s="509"/>
      <c r="X109" s="509"/>
      <c r="Y109" s="509"/>
      <c r="Z109" s="509"/>
      <c r="AA109" s="509"/>
      <c r="AB109" s="509"/>
      <c r="AC109" s="509"/>
      <c r="AD109" s="509"/>
      <c r="AE109" s="509"/>
      <c r="AF109" s="509"/>
      <c r="AG109" s="509"/>
      <c r="AH109" s="509"/>
      <c r="AI109" s="509"/>
      <c r="AJ109" s="509"/>
      <c r="AK109" s="509"/>
      <c r="AL109" s="509"/>
      <c r="AM109" s="509"/>
      <c r="AN109" s="509"/>
      <c r="AO109" s="509"/>
      <c r="AP109" s="509"/>
      <c r="AQ109" s="509"/>
      <c r="AR109" s="509"/>
      <c r="AS109" s="509"/>
      <c r="AT109" s="509"/>
      <c r="AU109" s="509"/>
      <c r="AV109" s="509"/>
      <c r="AW109" s="509"/>
      <c r="AX109" s="509"/>
      <c r="AY109" s="509"/>
      <c r="AZ109" s="509"/>
      <c r="BA109" s="509"/>
      <c r="BB109" s="509"/>
      <c r="BC109" s="509"/>
      <c r="BD109" s="510"/>
      <c r="BE109" s="510"/>
      <c r="BF109" s="510"/>
      <c r="BG109" s="510"/>
      <c r="BH109" s="510"/>
      <c r="BI109" s="510"/>
      <c r="BJ109" s="510"/>
      <c r="BK109" s="510"/>
      <c r="BL109" s="510"/>
      <c r="BM109" s="510"/>
      <c r="BN109" s="510"/>
      <c r="BO109" s="510"/>
      <c r="BP109" s="510"/>
      <c r="BQ109" s="510"/>
      <c r="BR109" s="510"/>
      <c r="BS109" s="510"/>
      <c r="BT109" s="510"/>
      <c r="BU109" s="510"/>
      <c r="BV109" s="510"/>
      <c r="BW109" s="510"/>
      <c r="BX109" s="510"/>
      <c r="BY109" s="510"/>
      <c r="BZ109" s="510"/>
      <c r="CA109" s="510"/>
      <c r="CB109" s="510"/>
      <c r="CC109" s="510"/>
      <c r="CD109" s="510"/>
      <c r="CE109" s="510"/>
      <c r="CF109" s="510"/>
      <c r="CG109" s="510"/>
      <c r="CH109" s="510"/>
      <c r="CI109" s="510"/>
      <c r="CJ109" s="511">
        <f>'прочие мат запасы 346-550'!D174</f>
        <v>197009</v>
      </c>
      <c r="CK109" s="511"/>
      <c r="CL109" s="511"/>
      <c r="CM109" s="511"/>
      <c r="CN109" s="511"/>
      <c r="CO109" s="511"/>
      <c r="CP109" s="511"/>
      <c r="CQ109" s="511"/>
      <c r="CR109" s="511"/>
      <c r="CS109" s="511"/>
      <c r="CT109" s="511"/>
      <c r="CU109" s="511"/>
      <c r="CV109" s="511"/>
      <c r="CW109" s="511"/>
      <c r="CX109" s="511"/>
      <c r="CY109" s="511"/>
      <c r="CZ109" s="511"/>
      <c r="DA109" s="511"/>
      <c r="DE109" s="259"/>
    </row>
    <row r="110" spans="1:110" s="250" customFormat="1" ht="31.5" customHeight="1" x14ac:dyDescent="0.2">
      <c r="A110" s="508" t="s">
        <v>602</v>
      </c>
      <c r="B110" s="508"/>
      <c r="C110" s="508"/>
      <c r="D110" s="508"/>
      <c r="E110" s="508"/>
      <c r="F110" s="508"/>
      <c r="G110" s="508"/>
      <c r="H110" s="509" t="s">
        <v>603</v>
      </c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09"/>
      <c r="T110" s="509"/>
      <c r="U110" s="509"/>
      <c r="V110" s="509"/>
      <c r="W110" s="509"/>
      <c r="X110" s="509"/>
      <c r="Y110" s="509"/>
      <c r="Z110" s="509"/>
      <c r="AA110" s="509"/>
      <c r="AB110" s="509"/>
      <c r="AC110" s="509"/>
      <c r="AD110" s="509"/>
      <c r="AE110" s="509"/>
      <c r="AF110" s="509"/>
      <c r="AG110" s="509"/>
      <c r="AH110" s="509"/>
      <c r="AI110" s="509"/>
      <c r="AJ110" s="509"/>
      <c r="AK110" s="509"/>
      <c r="AL110" s="509"/>
      <c r="AM110" s="509"/>
      <c r="AN110" s="509"/>
      <c r="AO110" s="509"/>
      <c r="AP110" s="509"/>
      <c r="AQ110" s="509"/>
      <c r="AR110" s="509"/>
      <c r="AS110" s="509"/>
      <c r="AT110" s="509"/>
      <c r="AU110" s="509"/>
      <c r="AV110" s="509"/>
      <c r="AW110" s="509"/>
      <c r="AX110" s="509"/>
      <c r="AY110" s="509"/>
      <c r="AZ110" s="509"/>
      <c r="BA110" s="509"/>
      <c r="BB110" s="509"/>
      <c r="BC110" s="509"/>
      <c r="BD110" s="510"/>
      <c r="BE110" s="510"/>
      <c r="BF110" s="510"/>
      <c r="BG110" s="510"/>
      <c r="BH110" s="510"/>
      <c r="BI110" s="510"/>
      <c r="BJ110" s="510"/>
      <c r="BK110" s="510"/>
      <c r="BL110" s="510"/>
      <c r="BM110" s="510"/>
      <c r="BN110" s="510"/>
      <c r="BO110" s="510"/>
      <c r="BP110" s="510"/>
      <c r="BQ110" s="510"/>
      <c r="BR110" s="510"/>
      <c r="BS110" s="510"/>
      <c r="BT110" s="510"/>
      <c r="BU110" s="510"/>
      <c r="BV110" s="510"/>
      <c r="BW110" s="510"/>
      <c r="BX110" s="510"/>
      <c r="BY110" s="510"/>
      <c r="BZ110" s="510"/>
      <c r="CA110" s="510"/>
      <c r="CB110" s="510"/>
      <c r="CC110" s="510"/>
      <c r="CD110" s="510"/>
      <c r="CE110" s="510"/>
      <c r="CF110" s="510"/>
      <c r="CG110" s="510"/>
      <c r="CH110" s="510"/>
      <c r="CI110" s="510"/>
      <c r="CJ110" s="511">
        <f>'сувениры 349-845'!D9+'прочие 349-550'!D9</f>
        <v>4718.3499999999995</v>
      </c>
      <c r="CK110" s="511"/>
      <c r="CL110" s="511"/>
      <c r="CM110" s="511"/>
      <c r="CN110" s="511"/>
      <c r="CO110" s="511"/>
      <c r="CP110" s="511"/>
      <c r="CQ110" s="511"/>
      <c r="CR110" s="511"/>
      <c r="CS110" s="511"/>
      <c r="CT110" s="511"/>
      <c r="CU110" s="511"/>
      <c r="CV110" s="511"/>
      <c r="CW110" s="511"/>
      <c r="CX110" s="511"/>
      <c r="CY110" s="511"/>
      <c r="CZ110" s="511"/>
      <c r="DA110" s="511"/>
      <c r="DE110" s="180"/>
    </row>
    <row r="111" spans="1:110" s="250" customFormat="1" ht="15" customHeight="1" x14ac:dyDescent="0.2">
      <c r="A111" s="508"/>
      <c r="B111" s="508"/>
      <c r="C111" s="508"/>
      <c r="D111" s="508"/>
      <c r="E111" s="508"/>
      <c r="F111" s="508"/>
      <c r="G111" s="508"/>
      <c r="H111" s="512" t="s">
        <v>521</v>
      </c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  <c r="AA111" s="512"/>
      <c r="AB111" s="512"/>
      <c r="AC111" s="512"/>
      <c r="AD111" s="512"/>
      <c r="AE111" s="512"/>
      <c r="AF111" s="512"/>
      <c r="AG111" s="512"/>
      <c r="AH111" s="512"/>
      <c r="AI111" s="512"/>
      <c r="AJ111" s="512"/>
      <c r="AK111" s="512"/>
      <c r="AL111" s="512"/>
      <c r="AM111" s="512"/>
      <c r="AN111" s="512"/>
      <c r="AO111" s="512"/>
      <c r="AP111" s="512"/>
      <c r="AQ111" s="512"/>
      <c r="AR111" s="512"/>
      <c r="AS111" s="512"/>
      <c r="AT111" s="512"/>
      <c r="AU111" s="512"/>
      <c r="AV111" s="512"/>
      <c r="AW111" s="512"/>
      <c r="AX111" s="512"/>
      <c r="AY111" s="512"/>
      <c r="AZ111" s="512"/>
      <c r="BA111" s="512"/>
      <c r="BB111" s="512"/>
      <c r="BC111" s="513"/>
      <c r="BD111" s="510"/>
      <c r="BE111" s="510"/>
      <c r="BF111" s="510"/>
      <c r="BG111" s="510"/>
      <c r="BH111" s="510"/>
      <c r="BI111" s="510"/>
      <c r="BJ111" s="510"/>
      <c r="BK111" s="510"/>
      <c r="BL111" s="510"/>
      <c r="BM111" s="510"/>
      <c r="BN111" s="510"/>
      <c r="BO111" s="510"/>
      <c r="BP111" s="510"/>
      <c r="BQ111" s="510"/>
      <c r="BR111" s="510"/>
      <c r="BS111" s="510"/>
      <c r="BT111" s="510" t="s">
        <v>494</v>
      </c>
      <c r="BU111" s="510"/>
      <c r="BV111" s="510"/>
      <c r="BW111" s="510"/>
      <c r="BX111" s="510"/>
      <c r="BY111" s="510"/>
      <c r="BZ111" s="510"/>
      <c r="CA111" s="510"/>
      <c r="CB111" s="510"/>
      <c r="CC111" s="510"/>
      <c r="CD111" s="510"/>
      <c r="CE111" s="510"/>
      <c r="CF111" s="510"/>
      <c r="CG111" s="510"/>
      <c r="CH111" s="510"/>
      <c r="CI111" s="510"/>
      <c r="CJ111" s="514">
        <f>SUM(CJ103:DA110)</f>
        <v>459385.30299999996</v>
      </c>
      <c r="CK111" s="514"/>
      <c r="CL111" s="514"/>
      <c r="CM111" s="514"/>
      <c r="CN111" s="514"/>
      <c r="CO111" s="514"/>
      <c r="CP111" s="514"/>
      <c r="CQ111" s="514"/>
      <c r="CR111" s="514"/>
      <c r="CS111" s="514"/>
      <c r="CT111" s="514"/>
      <c r="CU111" s="514"/>
      <c r="CV111" s="514"/>
      <c r="CW111" s="514"/>
      <c r="CX111" s="514"/>
      <c r="CY111" s="514"/>
      <c r="CZ111" s="514"/>
      <c r="DA111" s="514"/>
      <c r="DE111" s="260">
        <f>CJ111+CJ96+CJ86+CJ67+CL60+CE47+CM36+BW24+CJ10</f>
        <v>36960199.99862656</v>
      </c>
      <c r="DF111" s="257"/>
    </row>
    <row r="113" spans="109:109" ht="12" customHeight="1" x14ac:dyDescent="0.25">
      <c r="DE113" s="260"/>
    </row>
    <row r="114" spans="109:109" ht="12" customHeight="1" x14ac:dyDescent="0.25">
      <c r="DE114" s="261">
        <v>36960200</v>
      </c>
    </row>
    <row r="115" spans="109:109" ht="12" customHeight="1" x14ac:dyDescent="0.25">
      <c r="DE115" s="261">
        <v>0</v>
      </c>
    </row>
    <row r="116" spans="109:109" ht="12" customHeight="1" x14ac:dyDescent="0.25">
      <c r="DE116" s="262">
        <f>DE114+DE115</f>
        <v>36960200</v>
      </c>
    </row>
    <row r="117" spans="109:109" ht="12" customHeight="1" x14ac:dyDescent="0.25">
      <c r="DE117" s="260"/>
    </row>
    <row r="118" spans="109:109" ht="12" customHeight="1" x14ac:dyDescent="0.25">
      <c r="DE118" s="260">
        <f>DE111-DE116</f>
        <v>-1.3734400272369385E-3</v>
      </c>
    </row>
    <row r="119" spans="109:109" ht="12" customHeight="1" x14ac:dyDescent="0.25">
      <c r="DE119" s="260"/>
    </row>
    <row r="120" spans="109:109" ht="12" customHeight="1" x14ac:dyDescent="0.25">
      <c r="DE120" s="260"/>
    </row>
    <row r="122" spans="109:109" ht="12" customHeight="1" x14ac:dyDescent="0.25">
      <c r="DE122" s="260"/>
    </row>
    <row r="123" spans="109:109" ht="12" customHeight="1" x14ac:dyDescent="0.25">
      <c r="DE123" s="260"/>
    </row>
    <row r="126" spans="109:109" ht="12" customHeight="1" x14ac:dyDescent="0.25">
      <c r="DE126" s="260"/>
    </row>
  </sheetData>
  <mergeCells count="358">
    <mergeCell ref="A2:DA2"/>
    <mergeCell ref="A4:F4"/>
    <mergeCell ref="G4:AD4"/>
    <mergeCell ref="AE4:BC4"/>
    <mergeCell ref="BD4:BS4"/>
    <mergeCell ref="BT4:CI4"/>
    <mergeCell ref="CJ4:DA4"/>
    <mergeCell ref="A6:F6"/>
    <mergeCell ref="G6:AD6"/>
    <mergeCell ref="AE6:BC6"/>
    <mergeCell ref="BD6:BS6"/>
    <mergeCell ref="BT6:CI6"/>
    <mergeCell ref="CJ6:DA6"/>
    <mergeCell ref="A5:F5"/>
    <mergeCell ref="G5:AD5"/>
    <mergeCell ref="AE5:BC5"/>
    <mergeCell ref="BD5:BS5"/>
    <mergeCell ref="BT5:CI5"/>
    <mergeCell ref="CJ5:DA5"/>
    <mergeCell ref="A8:F8"/>
    <mergeCell ref="G8:AD8"/>
    <mergeCell ref="AE8:BC8"/>
    <mergeCell ref="BD8:BS8"/>
    <mergeCell ref="BT8:CI8"/>
    <mergeCell ref="CJ8:DA8"/>
    <mergeCell ref="A7:F7"/>
    <mergeCell ref="G7:AD7"/>
    <mergeCell ref="AE7:BC7"/>
    <mergeCell ref="BD7:BS7"/>
    <mergeCell ref="BT7:CI7"/>
    <mergeCell ref="CJ7:DA7"/>
    <mergeCell ref="A10:F10"/>
    <mergeCell ref="G10:AD10"/>
    <mergeCell ref="AE10:BC10"/>
    <mergeCell ref="BD10:BS10"/>
    <mergeCell ref="BT10:CI10"/>
    <mergeCell ref="CJ10:DA10"/>
    <mergeCell ref="A9:F9"/>
    <mergeCell ref="G9:AD9"/>
    <mergeCell ref="AE9:BC9"/>
    <mergeCell ref="BD9:BS9"/>
    <mergeCell ref="BT9:CI9"/>
    <mergeCell ref="CJ9:DA9"/>
    <mergeCell ref="A15:F15"/>
    <mergeCell ref="G15:AD15"/>
    <mergeCell ref="AE15:AY15"/>
    <mergeCell ref="AZ15:BQ15"/>
    <mergeCell ref="BR15:CI15"/>
    <mergeCell ref="CJ15:DA15"/>
    <mergeCell ref="A12:DA12"/>
    <mergeCell ref="A14:F14"/>
    <mergeCell ref="G14:AD14"/>
    <mergeCell ref="AE14:AY14"/>
    <mergeCell ref="AZ14:BQ14"/>
    <mergeCell ref="BR14:CI14"/>
    <mergeCell ref="CJ14:DA14"/>
    <mergeCell ref="A17:F17"/>
    <mergeCell ref="G17:AD17"/>
    <mergeCell ref="AE17:AY17"/>
    <mergeCell ref="AZ17:BQ17"/>
    <mergeCell ref="BR17:CI17"/>
    <mergeCell ref="CJ17:DA17"/>
    <mergeCell ref="A16:F16"/>
    <mergeCell ref="G16:AD16"/>
    <mergeCell ref="AE16:AY16"/>
    <mergeCell ref="AZ16:BQ16"/>
    <mergeCell ref="BR16:CI16"/>
    <mergeCell ref="CJ16:DA16"/>
    <mergeCell ref="A19:DA19"/>
    <mergeCell ref="A21:F21"/>
    <mergeCell ref="G21:BV21"/>
    <mergeCell ref="BW21:CL21"/>
    <mergeCell ref="CM21:DA21"/>
    <mergeCell ref="A22:F22"/>
    <mergeCell ref="G22:BV22"/>
    <mergeCell ref="BW22:CL22"/>
    <mergeCell ref="CM22:DA22"/>
    <mergeCell ref="A26:F26"/>
    <mergeCell ref="H26:BV26"/>
    <mergeCell ref="BW26:CL26"/>
    <mergeCell ref="CM26:DA26"/>
    <mergeCell ref="A27:F27"/>
    <mergeCell ref="H27:BV27"/>
    <mergeCell ref="BW27:CL27"/>
    <mergeCell ref="CM27:DA27"/>
    <mergeCell ref="A23:F23"/>
    <mergeCell ref="H23:BV23"/>
    <mergeCell ref="BW23:CL23"/>
    <mergeCell ref="CM23:DA23"/>
    <mergeCell ref="A24:F25"/>
    <mergeCell ref="H24:BV24"/>
    <mergeCell ref="BW24:CL25"/>
    <mergeCell ref="CM24:DA25"/>
    <mergeCell ref="H25:BV25"/>
    <mergeCell ref="A28:F28"/>
    <mergeCell ref="H28:BV28"/>
    <mergeCell ref="BW28:CL28"/>
    <mergeCell ref="CM28:DA28"/>
    <mergeCell ref="A29:F30"/>
    <mergeCell ref="H29:BV29"/>
    <mergeCell ref="BW29:CL30"/>
    <mergeCell ref="CM29:DA30"/>
    <mergeCell ref="H30:BV30"/>
    <mergeCell ref="A33:F33"/>
    <mergeCell ref="H33:BV33"/>
    <mergeCell ref="BW33:CL33"/>
    <mergeCell ref="CM33:DA33"/>
    <mergeCell ref="A34:F34"/>
    <mergeCell ref="H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39:DA39"/>
    <mergeCell ref="A42:G42"/>
    <mergeCell ref="H42:BC42"/>
    <mergeCell ref="BD42:BS42"/>
    <mergeCell ref="BT42:CD42"/>
    <mergeCell ref="CE42:DA42"/>
    <mergeCell ref="A35:F35"/>
    <mergeCell ref="H35:BV35"/>
    <mergeCell ref="BW35:CL35"/>
    <mergeCell ref="CM35:DA35"/>
    <mergeCell ref="A36:F36"/>
    <mergeCell ref="G36:BV36"/>
    <mergeCell ref="BW36:CL36"/>
    <mergeCell ref="CM36:DA36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47:G47"/>
    <mergeCell ref="H47:BC47"/>
    <mergeCell ref="BD47:BS47"/>
    <mergeCell ref="BT47:CD47"/>
    <mergeCell ref="CE47:DA47"/>
    <mergeCell ref="A51:DA51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57:G57"/>
    <mergeCell ref="H57:AO57"/>
    <mergeCell ref="AP57:BE57"/>
    <mergeCell ref="BF57:BU57"/>
    <mergeCell ref="BV57:CK57"/>
    <mergeCell ref="CL57:DA57"/>
    <mergeCell ref="A54:DA54"/>
    <mergeCell ref="A56:G56"/>
    <mergeCell ref="H56:AO56"/>
    <mergeCell ref="AP56:BE56"/>
    <mergeCell ref="BF56:BU56"/>
    <mergeCell ref="BV56:CK56"/>
    <mergeCell ref="CL56:DA56"/>
    <mergeCell ref="A59:G59"/>
    <mergeCell ref="H59:AO59"/>
    <mergeCell ref="AP59:BE59"/>
    <mergeCell ref="BF59:BU59"/>
    <mergeCell ref="BV59:CK59"/>
    <mergeCell ref="CL59:DA59"/>
    <mergeCell ref="A58:G58"/>
    <mergeCell ref="H58:AO58"/>
    <mergeCell ref="AP58:BE58"/>
    <mergeCell ref="BF58:BU58"/>
    <mergeCell ref="BV58:CK58"/>
    <mergeCell ref="CL58:DA58"/>
    <mergeCell ref="A62:DA62"/>
    <mergeCell ref="A64:G64"/>
    <mergeCell ref="H64:BC64"/>
    <mergeCell ref="BD64:BS64"/>
    <mergeCell ref="BT64:CI64"/>
    <mergeCell ref="CJ64:DA64"/>
    <mergeCell ref="A60:G60"/>
    <mergeCell ref="H60:AO60"/>
    <mergeCell ref="AP60:BE60"/>
    <mergeCell ref="BF60:BU60"/>
    <mergeCell ref="BV60:CK60"/>
    <mergeCell ref="CL60:DA60"/>
    <mergeCell ref="A67:G67"/>
    <mergeCell ref="H67:BC67"/>
    <mergeCell ref="BD67:BS67"/>
    <mergeCell ref="BT67:CI67"/>
    <mergeCell ref="CJ67:DA67"/>
    <mergeCell ref="A70:DA70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CJ66:DA66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BT73:CI73"/>
    <mergeCell ref="CJ73:DA73"/>
    <mergeCell ref="A77:DA77"/>
    <mergeCell ref="A79:G79"/>
    <mergeCell ref="H79:BC79"/>
    <mergeCell ref="BD79:BS79"/>
    <mergeCell ref="BT79:CI79"/>
    <mergeCell ref="CJ79:DA79"/>
    <mergeCell ref="A74:G74"/>
    <mergeCell ref="H74:BC74"/>
    <mergeCell ref="BD74:BS74"/>
    <mergeCell ref="BT74:CI74"/>
    <mergeCell ref="CJ74:DA74"/>
    <mergeCell ref="A75:G75"/>
    <mergeCell ref="H75:BC75"/>
    <mergeCell ref="BD75:BS75"/>
    <mergeCell ref="BT75:CI75"/>
    <mergeCell ref="CJ75:DA75"/>
    <mergeCell ref="A80:G80"/>
    <mergeCell ref="H80:BC80"/>
    <mergeCell ref="BD80:BS80"/>
    <mergeCell ref="BT80:CI80"/>
    <mergeCell ref="CJ80:DA80"/>
    <mergeCell ref="A81:G81"/>
    <mergeCell ref="H81:BC81"/>
    <mergeCell ref="BD81:BS81"/>
    <mergeCell ref="BT81:CI81"/>
    <mergeCell ref="CJ81:DA81"/>
    <mergeCell ref="A82:G82"/>
    <mergeCell ref="H82:BC82"/>
    <mergeCell ref="BD82:BS82"/>
    <mergeCell ref="BT82:CI82"/>
    <mergeCell ref="CJ82:DA82"/>
    <mergeCell ref="A83:G83"/>
    <mergeCell ref="H83:BC83"/>
    <mergeCell ref="BD83:BS83"/>
    <mergeCell ref="BT83:CI83"/>
    <mergeCell ref="CJ83:DA83"/>
    <mergeCell ref="A84:G84"/>
    <mergeCell ref="H84:BC84"/>
    <mergeCell ref="BD84:BS84"/>
    <mergeCell ref="BT84:CI84"/>
    <mergeCell ref="CJ84:DA84"/>
    <mergeCell ref="A85:G85"/>
    <mergeCell ref="H85:BC85"/>
    <mergeCell ref="BD85:BS85"/>
    <mergeCell ref="BT85:CI85"/>
    <mergeCell ref="CJ85:DA85"/>
    <mergeCell ref="A90:G90"/>
    <mergeCell ref="H90:BS90"/>
    <mergeCell ref="BT90:CI90"/>
    <mergeCell ref="CJ90:DA90"/>
    <mergeCell ref="A91:G91"/>
    <mergeCell ref="H91:BS91"/>
    <mergeCell ref="BT91:CI91"/>
    <mergeCell ref="CJ91:DA91"/>
    <mergeCell ref="A86:G86"/>
    <mergeCell ref="H86:BC86"/>
    <mergeCell ref="BD86:BS86"/>
    <mergeCell ref="BT86:CI86"/>
    <mergeCell ref="CJ86:DA86"/>
    <mergeCell ref="A88:DA88"/>
    <mergeCell ref="A94:G94"/>
    <mergeCell ref="H94:BS94"/>
    <mergeCell ref="BT94:CI94"/>
    <mergeCell ref="CJ94:DA94"/>
    <mergeCell ref="A95:G95"/>
    <mergeCell ref="H95:BS95"/>
    <mergeCell ref="BT95:CI95"/>
    <mergeCell ref="CJ95:DA95"/>
    <mergeCell ref="A92:G92"/>
    <mergeCell ref="H92:BS92"/>
    <mergeCell ref="BT92:CI92"/>
    <mergeCell ref="CJ92:DA92"/>
    <mergeCell ref="A93:G93"/>
    <mergeCell ref="H93:BS93"/>
    <mergeCell ref="BT93:CI93"/>
    <mergeCell ref="CJ93:DA93"/>
    <mergeCell ref="A96:G96"/>
    <mergeCell ref="H96:BS96"/>
    <mergeCell ref="BT96:CI96"/>
    <mergeCell ref="CJ96:DA96"/>
    <mergeCell ref="A99:DA99"/>
    <mergeCell ref="A101:G101"/>
    <mergeCell ref="H101:BC101"/>
    <mergeCell ref="BD101:BS101"/>
    <mergeCell ref="BT101:CI101"/>
    <mergeCell ref="CJ101:DA101"/>
    <mergeCell ref="A102:G102"/>
    <mergeCell ref="H102:BC102"/>
    <mergeCell ref="BD102:BS102"/>
    <mergeCell ref="BT102:CI102"/>
    <mergeCell ref="CJ102:DA102"/>
    <mergeCell ref="A103:G103"/>
    <mergeCell ref="H103:BC103"/>
    <mergeCell ref="BD103:BS103"/>
    <mergeCell ref="BT103:CI103"/>
    <mergeCell ref="CJ103:DA103"/>
    <mergeCell ref="A104:G104"/>
    <mergeCell ref="H104:BC104"/>
    <mergeCell ref="BD104:BS104"/>
    <mergeCell ref="BT104:CI104"/>
    <mergeCell ref="CJ104:DA104"/>
    <mergeCell ref="A105:G105"/>
    <mergeCell ref="H105:BC105"/>
    <mergeCell ref="BD105:BS105"/>
    <mergeCell ref="BT105:CI105"/>
    <mergeCell ref="CJ105:DA105"/>
    <mergeCell ref="A106:G106"/>
    <mergeCell ref="H106:BC106"/>
    <mergeCell ref="BD106:BS106"/>
    <mergeCell ref="BT106:CI106"/>
    <mergeCell ref="CJ106:DA106"/>
    <mergeCell ref="A107:G107"/>
    <mergeCell ref="H107:BC107"/>
    <mergeCell ref="BD107:BS107"/>
    <mergeCell ref="BT107:CI107"/>
    <mergeCell ref="CJ107:DA107"/>
    <mergeCell ref="A108:G108"/>
    <mergeCell ref="H108:BC108"/>
    <mergeCell ref="BD108:BS108"/>
    <mergeCell ref="BT108:CI108"/>
    <mergeCell ref="CJ108:DA108"/>
    <mergeCell ref="A109:G109"/>
    <mergeCell ref="H109:BC109"/>
    <mergeCell ref="BD109:BS109"/>
    <mergeCell ref="BT109:CI109"/>
    <mergeCell ref="CJ109:DA109"/>
    <mergeCell ref="A110:G110"/>
    <mergeCell ref="H110:BC110"/>
    <mergeCell ref="BD110:BS110"/>
    <mergeCell ref="BT110:CI110"/>
    <mergeCell ref="CJ110:DA110"/>
    <mergeCell ref="A111:G111"/>
    <mergeCell ref="H111:BC111"/>
    <mergeCell ref="BD111:BS111"/>
    <mergeCell ref="BT111:CI111"/>
    <mergeCell ref="CJ111:DA111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5"/>
  <sheetViews>
    <sheetView view="pageBreakPreview" zoomScale="75" zoomScaleNormal="100" zoomScaleSheetLayoutView="75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I35" sqref="I35"/>
    </sheetView>
  </sheetViews>
  <sheetFormatPr defaultRowHeight="15" x14ac:dyDescent="0.25"/>
  <cols>
    <col min="1" max="1" width="26.140625" style="339" customWidth="1"/>
    <col min="2" max="2" width="10.42578125" style="279" customWidth="1"/>
    <col min="3" max="3" width="15" style="279" customWidth="1"/>
    <col min="4" max="4" width="17" style="279" customWidth="1"/>
    <col min="5" max="5" width="8.7109375" style="279" customWidth="1"/>
    <col min="6" max="6" width="12.7109375" style="279" customWidth="1"/>
    <col min="7" max="7" width="5.85546875" style="279" customWidth="1"/>
    <col min="8" max="8" width="12.42578125" style="279" customWidth="1"/>
    <col min="9" max="9" width="6" style="279" customWidth="1"/>
    <col min="10" max="10" width="10.28515625" style="279" customWidth="1"/>
    <col min="11" max="11" width="6.7109375" style="279" customWidth="1"/>
    <col min="12" max="12" width="10.28515625" style="279" customWidth="1"/>
    <col min="13" max="13" width="8.28515625" style="279" customWidth="1"/>
    <col min="14" max="14" width="12.5703125" style="279" customWidth="1"/>
    <col min="15" max="15" width="7.42578125" style="279" customWidth="1"/>
    <col min="16" max="16" width="13" style="279" customWidth="1"/>
    <col min="17" max="17" width="7.140625" style="279" customWidth="1"/>
    <col min="18" max="18" width="14.85546875" style="279" customWidth="1"/>
    <col min="19" max="19" width="6.85546875" style="279" customWidth="1"/>
    <col min="20" max="20" width="10.28515625" style="279" customWidth="1"/>
    <col min="21" max="21" width="5.85546875" style="279" hidden="1" customWidth="1"/>
    <col min="22" max="22" width="14.28515625" style="279" hidden="1" customWidth="1"/>
    <col min="23" max="23" width="14.28515625" style="279" customWidth="1"/>
    <col min="24" max="24" width="14.5703125" style="279" customWidth="1"/>
    <col min="25" max="25" width="12.42578125" style="279" customWidth="1"/>
    <col min="26" max="26" width="15.140625" style="279" customWidth="1"/>
    <col min="27" max="27" width="15.85546875" style="279" customWidth="1"/>
    <col min="28" max="28" width="14.85546875" style="279" customWidth="1"/>
    <col min="29" max="29" width="15.85546875" style="279" customWidth="1"/>
    <col min="30" max="16384" width="9.140625" style="102"/>
  </cols>
  <sheetData>
    <row r="1" spans="1:39" x14ac:dyDescent="0.25">
      <c r="A1" s="338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39" ht="15" customHeight="1" x14ac:dyDescent="0.25">
      <c r="A2" s="581" t="s">
        <v>795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380"/>
    </row>
    <row r="3" spans="1:39" ht="15" customHeight="1" x14ac:dyDescent="0.25">
      <c r="A3" s="582" t="s">
        <v>190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380"/>
    </row>
    <row r="4" spans="1:39" ht="25.5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E4" s="360"/>
      <c r="AF4" s="360"/>
      <c r="AG4" s="360"/>
      <c r="AH4" s="360"/>
      <c r="AI4" s="360"/>
      <c r="AJ4" s="360"/>
      <c r="AK4" s="360"/>
      <c r="AL4" s="360"/>
      <c r="AM4" s="360"/>
    </row>
    <row r="5" spans="1:39" ht="45" customHeight="1" x14ac:dyDescent="0.25">
      <c r="A5" s="577" t="s">
        <v>663</v>
      </c>
      <c r="B5" s="577" t="s">
        <v>664</v>
      </c>
      <c r="C5" s="577" t="s">
        <v>665</v>
      </c>
      <c r="D5" s="577" t="s">
        <v>666</v>
      </c>
      <c r="E5" s="577" t="s">
        <v>667</v>
      </c>
      <c r="F5" s="577"/>
      <c r="G5" s="577" t="s">
        <v>668</v>
      </c>
      <c r="H5" s="577"/>
      <c r="I5" s="577" t="s">
        <v>669</v>
      </c>
      <c r="J5" s="577"/>
      <c r="K5" s="583" t="s">
        <v>727</v>
      </c>
      <c r="L5" s="584"/>
      <c r="M5" s="583" t="s">
        <v>796</v>
      </c>
      <c r="N5" s="584"/>
      <c r="O5" s="583" t="s">
        <v>797</v>
      </c>
      <c r="P5" s="584"/>
      <c r="Q5" s="583" t="s">
        <v>798</v>
      </c>
      <c r="R5" s="584"/>
      <c r="S5" s="583" t="s">
        <v>670</v>
      </c>
      <c r="T5" s="584"/>
      <c r="U5" s="307" t="s">
        <v>150</v>
      </c>
      <c r="V5" s="307" t="s">
        <v>671</v>
      </c>
      <c r="W5" s="574" t="s">
        <v>156</v>
      </c>
      <c r="X5" s="574"/>
      <c r="Y5" s="574" t="s">
        <v>672</v>
      </c>
      <c r="Z5" s="574"/>
      <c r="AA5" s="577" t="s">
        <v>673</v>
      </c>
      <c r="AB5" s="577" t="s">
        <v>157</v>
      </c>
      <c r="AC5" s="577" t="s">
        <v>674</v>
      </c>
      <c r="AE5" s="360"/>
      <c r="AF5" s="360"/>
      <c r="AG5" s="360"/>
      <c r="AH5" s="360"/>
      <c r="AI5" s="360"/>
      <c r="AJ5" s="360"/>
      <c r="AK5" s="360"/>
      <c r="AL5" s="360"/>
      <c r="AM5" s="360"/>
    </row>
    <row r="6" spans="1:39" x14ac:dyDescent="0.25">
      <c r="A6" s="577"/>
      <c r="B6" s="577"/>
      <c r="C6" s="577"/>
      <c r="D6" s="577"/>
      <c r="E6" s="361" t="s">
        <v>191</v>
      </c>
      <c r="F6" s="361" t="s">
        <v>36</v>
      </c>
      <c r="G6" s="361" t="s">
        <v>191</v>
      </c>
      <c r="H6" s="361" t="s">
        <v>36</v>
      </c>
      <c r="I6" s="361" t="s">
        <v>191</v>
      </c>
      <c r="J6" s="361" t="s">
        <v>36</v>
      </c>
      <c r="K6" s="361" t="s">
        <v>191</v>
      </c>
      <c r="L6" s="361" t="s">
        <v>36</v>
      </c>
      <c r="M6" s="361" t="s">
        <v>191</v>
      </c>
      <c r="N6" s="361" t="s">
        <v>36</v>
      </c>
      <c r="O6" s="361" t="s">
        <v>191</v>
      </c>
      <c r="P6" s="361" t="s">
        <v>36</v>
      </c>
      <c r="Q6" s="361" t="s">
        <v>191</v>
      </c>
      <c r="R6" s="361" t="s">
        <v>36</v>
      </c>
      <c r="S6" s="361" t="s">
        <v>191</v>
      </c>
      <c r="T6" s="361" t="s">
        <v>36</v>
      </c>
      <c r="U6" s="361"/>
      <c r="V6" s="361"/>
      <c r="W6" s="362" t="s">
        <v>191</v>
      </c>
      <c r="X6" s="362" t="s">
        <v>675</v>
      </c>
      <c r="Y6" s="362" t="s">
        <v>191</v>
      </c>
      <c r="Z6" s="362" t="s">
        <v>675</v>
      </c>
      <c r="AA6" s="577"/>
      <c r="AB6" s="577"/>
      <c r="AC6" s="577"/>
      <c r="AE6" s="360"/>
      <c r="AF6" s="360"/>
      <c r="AG6" s="360"/>
      <c r="AH6" s="360"/>
      <c r="AI6" s="360"/>
      <c r="AJ6" s="360"/>
      <c r="AK6" s="360"/>
      <c r="AL6" s="360"/>
      <c r="AM6" s="360"/>
    </row>
    <row r="7" spans="1:39" s="275" customFormat="1" x14ac:dyDescent="0.25">
      <c r="A7" s="575" t="s">
        <v>158</v>
      </c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6"/>
      <c r="AD7" s="360"/>
      <c r="AE7" s="381"/>
      <c r="AF7" s="381"/>
      <c r="AG7" s="381"/>
      <c r="AH7" s="381"/>
      <c r="AI7" s="381"/>
      <c r="AJ7" s="381"/>
      <c r="AK7" s="381"/>
      <c r="AL7" s="381"/>
      <c r="AM7" s="381"/>
    </row>
    <row r="8" spans="1:39" ht="15.75" x14ac:dyDescent="0.25">
      <c r="A8" s="382" t="s">
        <v>799</v>
      </c>
      <c r="B8" s="308">
        <v>1</v>
      </c>
      <c r="C8" s="383">
        <f>28600*1.042</f>
        <v>29801.200000000001</v>
      </c>
      <c r="D8" s="309">
        <f>C8*B8</f>
        <v>29801.200000000001</v>
      </c>
      <c r="E8" s="308"/>
      <c r="F8" s="309">
        <f>D8*E8</f>
        <v>0</v>
      </c>
      <c r="G8" s="308"/>
      <c r="H8" s="309">
        <f>D8*G8</f>
        <v>0</v>
      </c>
      <c r="I8" s="308"/>
      <c r="J8" s="309">
        <f>D8*I8/100</f>
        <v>0</v>
      </c>
      <c r="K8" s="309"/>
      <c r="L8" s="309">
        <f>D8*K8</f>
        <v>0</v>
      </c>
      <c r="M8" s="309"/>
      <c r="N8" s="309">
        <f>D8*M8</f>
        <v>0</v>
      </c>
      <c r="O8" s="309"/>
      <c r="P8" s="309"/>
      <c r="Q8" s="309"/>
      <c r="R8" s="309">
        <f>D8*Q8</f>
        <v>0</v>
      </c>
      <c r="S8" s="309"/>
      <c r="T8" s="309"/>
      <c r="U8" s="309"/>
      <c r="V8" s="309"/>
      <c r="W8" s="308">
        <v>80</v>
      </c>
      <c r="X8" s="309">
        <f>(D8+F8+H8+J8+L8+N8+T8+P8+R8)*W8/100</f>
        <v>23840.959999999999</v>
      </c>
      <c r="Y8" s="308">
        <v>80</v>
      </c>
      <c r="Z8" s="309">
        <f>(D8+F8+H8+J8+L8+N8+T8+P8+R8)*Y8/100</f>
        <v>23840.959999999999</v>
      </c>
      <c r="AA8" s="309">
        <f>D8+F8+H8+J8+X8+Z8+L8+N8+T8+P8+R8+V8</f>
        <v>77483.12</v>
      </c>
      <c r="AB8" s="309">
        <f>D8*2.6</f>
        <v>77483.12000000001</v>
      </c>
      <c r="AC8" s="309">
        <f>(AA8*13)+AB8</f>
        <v>1084763.68</v>
      </c>
      <c r="AD8" s="381"/>
      <c r="AE8" s="360"/>
      <c r="AF8" s="360"/>
      <c r="AG8" s="360"/>
      <c r="AH8" s="360"/>
      <c r="AI8" s="360"/>
      <c r="AJ8" s="360"/>
      <c r="AK8" s="360"/>
      <c r="AL8" s="360"/>
      <c r="AM8" s="360"/>
    </row>
    <row r="9" spans="1:39" ht="31.5" x14ac:dyDescent="0.25">
      <c r="A9" s="382" t="s">
        <v>800</v>
      </c>
      <c r="B9" s="374">
        <v>1</v>
      </c>
      <c r="C9" s="383">
        <f>20020*1.042</f>
        <v>20860.84</v>
      </c>
      <c r="D9" s="309">
        <f>C9*B9</f>
        <v>20860.84</v>
      </c>
      <c r="E9" s="374"/>
      <c r="F9" s="309">
        <f>D9*E9</f>
        <v>0</v>
      </c>
      <c r="G9" s="374"/>
      <c r="H9" s="309">
        <f>D9*G9</f>
        <v>0</v>
      </c>
      <c r="I9" s="374"/>
      <c r="J9" s="309">
        <f>D9*I9/100</f>
        <v>0</v>
      </c>
      <c r="K9" s="309"/>
      <c r="L9" s="309">
        <f>D9*K9</f>
        <v>0</v>
      </c>
      <c r="M9" s="309"/>
      <c r="N9" s="309">
        <f>D9*M9</f>
        <v>0</v>
      </c>
      <c r="O9" s="309"/>
      <c r="P9" s="309"/>
      <c r="Q9" s="309"/>
      <c r="R9" s="309">
        <f>D9*Q9</f>
        <v>0</v>
      </c>
      <c r="S9" s="309"/>
      <c r="T9" s="309"/>
      <c r="U9" s="309"/>
      <c r="V9" s="309"/>
      <c r="W9" s="308">
        <v>80</v>
      </c>
      <c r="X9" s="309">
        <f>(D9+F9+H9+J9+L9+N9+T9+P9+R9)*W9/100</f>
        <v>16688.671999999999</v>
      </c>
      <c r="Y9" s="308">
        <v>80</v>
      </c>
      <c r="Z9" s="309">
        <f>(D9+F9+H9+J9+L9+N9+T9+P9+R9)*Y9/100</f>
        <v>16688.671999999999</v>
      </c>
      <c r="AA9" s="309">
        <f>D9+F9+H9+J9+X9+Z9+L9+N9+T9+P9+R9+V9</f>
        <v>54238.184000000001</v>
      </c>
      <c r="AB9" s="309">
        <f>D9*2.6</f>
        <v>54238.184000000001</v>
      </c>
      <c r="AC9" s="309">
        <f>(AA9*12)+AB9</f>
        <v>705096.39199999999</v>
      </c>
      <c r="AD9" s="360"/>
      <c r="AE9" s="360"/>
      <c r="AF9" s="360"/>
      <c r="AG9" s="360"/>
      <c r="AH9" s="360"/>
      <c r="AI9" s="360"/>
      <c r="AJ9" s="360"/>
      <c r="AK9" s="360"/>
      <c r="AL9" s="360"/>
      <c r="AM9" s="360"/>
    </row>
    <row r="10" spans="1:39" ht="18.75" customHeight="1" x14ac:dyDescent="0.25">
      <c r="A10" s="323" t="s">
        <v>676</v>
      </c>
      <c r="B10" s="276">
        <f t="shared" ref="B10:H10" si="0">SUM(B8:B9)</f>
        <v>2</v>
      </c>
      <c r="C10" s="276">
        <f t="shared" si="0"/>
        <v>50662.04</v>
      </c>
      <c r="D10" s="276">
        <f t="shared" si="0"/>
        <v>50662.04</v>
      </c>
      <c r="E10" s="276"/>
      <c r="F10" s="276">
        <f t="shared" si="0"/>
        <v>0</v>
      </c>
      <c r="G10" s="276"/>
      <c r="H10" s="276">
        <f t="shared" si="0"/>
        <v>0</v>
      </c>
      <c r="I10" s="276"/>
      <c r="J10" s="276">
        <f>SUM(J8:J9)</f>
        <v>0</v>
      </c>
      <c r="K10" s="276"/>
      <c r="L10" s="276">
        <f>SUM(L8:L9)</f>
        <v>0</v>
      </c>
      <c r="M10" s="276"/>
      <c r="N10" s="276">
        <f>SUM(N8:N9)</f>
        <v>0</v>
      </c>
      <c r="O10" s="276"/>
      <c r="P10" s="276">
        <f>SUM(P8:P9)</f>
        <v>0</v>
      </c>
      <c r="Q10" s="276"/>
      <c r="R10" s="276">
        <f>SUM(R8:R9)</f>
        <v>0</v>
      </c>
      <c r="S10" s="276"/>
      <c r="T10" s="276">
        <f>SUM(T8:T9)</f>
        <v>0</v>
      </c>
      <c r="U10" s="276"/>
      <c r="V10" s="276"/>
      <c r="W10" s="276"/>
      <c r="X10" s="276">
        <f>SUM(X8:X9)</f>
        <v>40529.631999999998</v>
      </c>
      <c r="Y10" s="276"/>
      <c r="Z10" s="276">
        <f>SUM(Z8:Z9)</f>
        <v>40529.631999999998</v>
      </c>
      <c r="AA10" s="276">
        <f>SUM(AA8:AA9)</f>
        <v>131721.304</v>
      </c>
      <c r="AB10" s="276">
        <f>SUM(AB8:AB9)</f>
        <v>131721.304</v>
      </c>
      <c r="AC10" s="276">
        <f>SUM(AC8:AC9)</f>
        <v>1789860.0719999999</v>
      </c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</row>
    <row r="11" spans="1:39" ht="15" customHeight="1" x14ac:dyDescent="0.25">
      <c r="A11" s="575" t="s">
        <v>677</v>
      </c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</row>
    <row r="12" spans="1:39" ht="47.25" x14ac:dyDescent="0.25">
      <c r="A12" s="382" t="s">
        <v>801</v>
      </c>
      <c r="B12" s="382">
        <v>1</v>
      </c>
      <c r="C12" s="310">
        <v>12035.1</v>
      </c>
      <c r="D12" s="309">
        <f t="shared" ref="D12:D26" si="1">C12*B12</f>
        <v>12035.1</v>
      </c>
      <c r="E12" s="308">
        <v>40</v>
      </c>
      <c r="F12" s="309">
        <f>D12*E12/100</f>
        <v>4814.04</v>
      </c>
      <c r="G12" s="374"/>
      <c r="H12" s="309">
        <f t="shared" ref="H12:H26" si="2">D12*G12</f>
        <v>0</v>
      </c>
      <c r="I12" s="308"/>
      <c r="J12" s="309">
        <f t="shared" ref="J12:J26" si="3">D12*I12/100</f>
        <v>0</v>
      </c>
      <c r="K12" s="309"/>
      <c r="L12" s="309">
        <f t="shared" ref="L12:L26" si="4">D12*K12</f>
        <v>0</v>
      </c>
      <c r="M12" s="384">
        <v>25</v>
      </c>
      <c r="N12" s="309">
        <f>D12*M12/100</f>
        <v>3008.7750000000001</v>
      </c>
      <c r="O12" s="309"/>
      <c r="P12" s="309"/>
      <c r="Q12" s="309"/>
      <c r="R12" s="309">
        <f t="shared" ref="R12:R26" si="5">D12*Q12</f>
        <v>0</v>
      </c>
      <c r="S12" s="309"/>
      <c r="T12" s="309"/>
      <c r="U12" s="309">
        <f>D12+F12+H12+J12+L12+N12+P12+R12+T12</f>
        <v>19857.915000000001</v>
      </c>
      <c r="V12" s="309"/>
      <c r="W12" s="308">
        <v>80</v>
      </c>
      <c r="X12" s="309">
        <f>(U12+V12)*W12/100</f>
        <v>15886.332000000002</v>
      </c>
      <c r="Y12" s="308">
        <v>80</v>
      </c>
      <c r="Z12" s="309">
        <f>(U12+V12)*Y12/100</f>
        <v>15886.332000000002</v>
      </c>
      <c r="AA12" s="309">
        <f>D12+F12+H12+J12+X12+Z12+L12+N12+T12+P12+R12+V12</f>
        <v>51630.579000000005</v>
      </c>
      <c r="AB12" s="309">
        <f t="shared" ref="AB12:AB26" si="6">D12*2.6</f>
        <v>31291.260000000002</v>
      </c>
      <c r="AC12" s="309">
        <f>(AA12*12)+AB12</f>
        <v>650858.2080000001</v>
      </c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</row>
    <row r="13" spans="1:39" ht="31.5" x14ac:dyDescent="0.25">
      <c r="A13" s="382" t="s">
        <v>802</v>
      </c>
      <c r="B13" s="382">
        <v>1</v>
      </c>
      <c r="C13" s="310">
        <v>12035.1</v>
      </c>
      <c r="D13" s="309">
        <f t="shared" si="1"/>
        <v>12035.1</v>
      </c>
      <c r="E13" s="308">
        <v>30</v>
      </c>
      <c r="F13" s="309">
        <f>D13*E13/100</f>
        <v>3610.53</v>
      </c>
      <c r="G13" s="374"/>
      <c r="H13" s="309">
        <f t="shared" si="2"/>
        <v>0</v>
      </c>
      <c r="I13" s="374"/>
      <c r="J13" s="309">
        <f t="shared" si="3"/>
        <v>0</v>
      </c>
      <c r="K13" s="309"/>
      <c r="L13" s="309">
        <f t="shared" si="4"/>
        <v>0</v>
      </c>
      <c r="M13" s="384">
        <v>25</v>
      </c>
      <c r="N13" s="309">
        <f t="shared" ref="N13:N26" si="7">D13*M13/100</f>
        <v>3008.7750000000001</v>
      </c>
      <c r="O13" s="309"/>
      <c r="P13" s="309"/>
      <c r="Q13" s="309"/>
      <c r="R13" s="309">
        <f t="shared" si="5"/>
        <v>0</v>
      </c>
      <c r="S13" s="309"/>
      <c r="T13" s="309"/>
      <c r="U13" s="309">
        <f t="shared" ref="U13:U26" si="8">D13+F13+H13+J13+L13+N13+P13+R13+T13</f>
        <v>18654.405000000002</v>
      </c>
      <c r="V13" s="309"/>
      <c r="W13" s="308">
        <v>80</v>
      </c>
      <c r="X13" s="309">
        <f t="shared" ref="X13:X26" si="9">(U13+V13)*W13/100</f>
        <v>14923.524000000001</v>
      </c>
      <c r="Y13" s="308">
        <v>80</v>
      </c>
      <c r="Z13" s="309">
        <f t="shared" ref="Z13:Z26" si="10">(U13+V13)*Y13/100</f>
        <v>14923.524000000001</v>
      </c>
      <c r="AA13" s="309">
        <f t="shared" ref="AA13:AA25" si="11">D13+F13+H13+J13+X13+Z13+L13+N13+T13+P13+R13+V13</f>
        <v>48501.453000000001</v>
      </c>
      <c r="AB13" s="309">
        <f t="shared" si="6"/>
        <v>31291.260000000002</v>
      </c>
      <c r="AC13" s="309">
        <f t="shared" ref="AC13:AC26" si="12">(AA13*12)+AB13</f>
        <v>613308.696</v>
      </c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</row>
    <row r="14" spans="1:39" ht="47.25" x14ac:dyDescent="0.25">
      <c r="A14" s="382" t="s">
        <v>803</v>
      </c>
      <c r="B14" s="382">
        <v>1</v>
      </c>
      <c r="C14" s="310">
        <v>12035.1</v>
      </c>
      <c r="D14" s="309">
        <f t="shared" si="1"/>
        <v>12035.1</v>
      </c>
      <c r="E14" s="308">
        <v>40</v>
      </c>
      <c r="F14" s="309">
        <f>D14*E14/100</f>
        <v>4814.04</v>
      </c>
      <c r="G14" s="374"/>
      <c r="H14" s="309">
        <f t="shared" si="2"/>
        <v>0</v>
      </c>
      <c r="I14" s="374"/>
      <c r="J14" s="309">
        <f t="shared" si="3"/>
        <v>0</v>
      </c>
      <c r="K14" s="309"/>
      <c r="L14" s="309">
        <f t="shared" si="4"/>
        <v>0</v>
      </c>
      <c r="M14" s="384">
        <v>25</v>
      </c>
      <c r="N14" s="309">
        <f t="shared" si="7"/>
        <v>3008.7750000000001</v>
      </c>
      <c r="O14" s="309"/>
      <c r="P14" s="309"/>
      <c r="Q14" s="309"/>
      <c r="R14" s="309">
        <f t="shared" si="5"/>
        <v>0</v>
      </c>
      <c r="S14" s="309"/>
      <c r="T14" s="309"/>
      <c r="U14" s="309">
        <f t="shared" si="8"/>
        <v>19857.915000000001</v>
      </c>
      <c r="V14" s="309"/>
      <c r="W14" s="308">
        <v>80</v>
      </c>
      <c r="X14" s="309">
        <f t="shared" si="9"/>
        <v>15886.332000000002</v>
      </c>
      <c r="Y14" s="308">
        <v>80</v>
      </c>
      <c r="Z14" s="309">
        <f t="shared" si="10"/>
        <v>15886.332000000002</v>
      </c>
      <c r="AA14" s="309">
        <f t="shared" si="11"/>
        <v>51630.579000000005</v>
      </c>
      <c r="AB14" s="309">
        <f t="shared" si="6"/>
        <v>31291.260000000002</v>
      </c>
      <c r="AC14" s="309">
        <f t="shared" si="12"/>
        <v>650858.2080000001</v>
      </c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</row>
    <row r="15" spans="1:39" ht="47.25" x14ac:dyDescent="0.25">
      <c r="A15" s="382" t="s">
        <v>803</v>
      </c>
      <c r="B15" s="382">
        <v>0.5</v>
      </c>
      <c r="C15" s="310">
        <v>12035.1</v>
      </c>
      <c r="D15" s="309">
        <f t="shared" si="1"/>
        <v>6017.55</v>
      </c>
      <c r="E15" s="374">
        <v>20</v>
      </c>
      <c r="F15" s="309">
        <f>D15*E15/100</f>
        <v>1203.51</v>
      </c>
      <c r="G15" s="374"/>
      <c r="H15" s="309">
        <f t="shared" si="2"/>
        <v>0</v>
      </c>
      <c r="I15" s="374"/>
      <c r="J15" s="309">
        <f t="shared" si="3"/>
        <v>0</v>
      </c>
      <c r="K15" s="374"/>
      <c r="L15" s="309">
        <f t="shared" si="4"/>
        <v>0</v>
      </c>
      <c r="M15" s="384">
        <v>25</v>
      </c>
      <c r="N15" s="309">
        <f t="shared" si="7"/>
        <v>1504.3875</v>
      </c>
      <c r="O15" s="309"/>
      <c r="P15" s="309"/>
      <c r="Q15" s="309"/>
      <c r="R15" s="309">
        <f t="shared" si="5"/>
        <v>0</v>
      </c>
      <c r="S15" s="374"/>
      <c r="T15" s="374"/>
      <c r="U15" s="309">
        <f t="shared" si="8"/>
        <v>8725.4475000000002</v>
      </c>
      <c r="V15" s="309"/>
      <c r="W15" s="308">
        <v>80</v>
      </c>
      <c r="X15" s="309">
        <f t="shared" si="9"/>
        <v>6980.3580000000002</v>
      </c>
      <c r="Y15" s="308">
        <v>80</v>
      </c>
      <c r="Z15" s="309">
        <f t="shared" si="10"/>
        <v>6980.3580000000002</v>
      </c>
      <c r="AA15" s="309">
        <f t="shared" si="11"/>
        <v>22686.163500000002</v>
      </c>
      <c r="AB15" s="309">
        <f t="shared" si="6"/>
        <v>15645.630000000001</v>
      </c>
      <c r="AC15" s="309">
        <f t="shared" si="12"/>
        <v>287879.59200000006</v>
      </c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</row>
    <row r="16" spans="1:39" ht="15.75" x14ac:dyDescent="0.25">
      <c r="A16" s="382" t="s">
        <v>804</v>
      </c>
      <c r="B16" s="374">
        <v>0.5</v>
      </c>
      <c r="C16" s="310">
        <v>12087.2</v>
      </c>
      <c r="D16" s="309">
        <f>C16*B16</f>
        <v>6043.6</v>
      </c>
      <c r="E16" s="308">
        <v>40</v>
      </c>
      <c r="F16" s="309">
        <f>D16*E16/100</f>
        <v>2417.44</v>
      </c>
      <c r="G16" s="374"/>
      <c r="H16" s="309">
        <f t="shared" si="2"/>
        <v>0</v>
      </c>
      <c r="I16" s="374"/>
      <c r="J16" s="309">
        <f t="shared" si="3"/>
        <v>0</v>
      </c>
      <c r="K16" s="309"/>
      <c r="L16" s="309">
        <f t="shared" si="4"/>
        <v>0</v>
      </c>
      <c r="M16" s="384">
        <v>25</v>
      </c>
      <c r="N16" s="309">
        <f t="shared" si="7"/>
        <v>1510.9</v>
      </c>
      <c r="O16" s="309"/>
      <c r="P16" s="309"/>
      <c r="Q16" s="309"/>
      <c r="R16" s="309">
        <f t="shared" si="5"/>
        <v>0</v>
      </c>
      <c r="S16" s="309"/>
      <c r="T16" s="309"/>
      <c r="U16" s="309">
        <f t="shared" si="8"/>
        <v>9971.94</v>
      </c>
      <c r="V16" s="309"/>
      <c r="W16" s="308">
        <v>80</v>
      </c>
      <c r="X16" s="309">
        <f t="shared" si="9"/>
        <v>7977.5520000000006</v>
      </c>
      <c r="Y16" s="308">
        <v>80</v>
      </c>
      <c r="Z16" s="309">
        <f t="shared" si="10"/>
        <v>7977.5520000000006</v>
      </c>
      <c r="AA16" s="309">
        <f t="shared" si="11"/>
        <v>25927.044000000002</v>
      </c>
      <c r="AB16" s="309">
        <f t="shared" si="6"/>
        <v>15713.36</v>
      </c>
      <c r="AC16" s="309">
        <f t="shared" si="12"/>
        <v>326837.88800000004</v>
      </c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</row>
    <row r="17" spans="1:39" hidden="1" x14ac:dyDescent="0.25">
      <c r="A17" s="374"/>
      <c r="B17" s="374"/>
      <c r="C17" s="310"/>
      <c r="D17" s="309">
        <f t="shared" si="1"/>
        <v>0</v>
      </c>
      <c r="E17" s="308"/>
      <c r="F17" s="309">
        <f t="shared" ref="F17:F26" si="13">D17*E17</f>
        <v>0</v>
      </c>
      <c r="G17" s="374"/>
      <c r="H17" s="309">
        <f t="shared" si="2"/>
        <v>0</v>
      </c>
      <c r="I17" s="374"/>
      <c r="J17" s="309">
        <f t="shared" si="3"/>
        <v>0</v>
      </c>
      <c r="K17" s="309"/>
      <c r="L17" s="309">
        <f t="shared" si="4"/>
        <v>0</v>
      </c>
      <c r="M17" s="384">
        <v>25</v>
      </c>
      <c r="N17" s="309">
        <f t="shared" si="7"/>
        <v>0</v>
      </c>
      <c r="O17" s="309"/>
      <c r="P17" s="309"/>
      <c r="Q17" s="309"/>
      <c r="R17" s="309">
        <f t="shared" si="5"/>
        <v>0</v>
      </c>
      <c r="S17" s="309"/>
      <c r="T17" s="309"/>
      <c r="U17" s="309">
        <f t="shared" si="8"/>
        <v>0</v>
      </c>
      <c r="V17" s="309"/>
      <c r="W17" s="308">
        <v>80</v>
      </c>
      <c r="X17" s="309">
        <f t="shared" si="9"/>
        <v>0</v>
      </c>
      <c r="Y17" s="308">
        <v>80</v>
      </c>
      <c r="Z17" s="309">
        <f t="shared" si="10"/>
        <v>0</v>
      </c>
      <c r="AA17" s="309">
        <f t="shared" si="11"/>
        <v>0</v>
      </c>
      <c r="AB17" s="309">
        <f t="shared" si="6"/>
        <v>0</v>
      </c>
      <c r="AC17" s="309">
        <f t="shared" si="12"/>
        <v>0</v>
      </c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</row>
    <row r="18" spans="1:39" x14ac:dyDescent="0.25">
      <c r="A18" s="374" t="s">
        <v>805</v>
      </c>
      <c r="B18" s="374">
        <v>13.61</v>
      </c>
      <c r="C18" s="310">
        <v>13129.2</v>
      </c>
      <c r="D18" s="309">
        <f t="shared" si="1"/>
        <v>178688.41200000001</v>
      </c>
      <c r="E18" s="308"/>
      <c r="F18" s="309">
        <v>65500.12</v>
      </c>
      <c r="G18" s="374"/>
      <c r="H18" s="309">
        <f t="shared" si="2"/>
        <v>0</v>
      </c>
      <c r="I18" s="374"/>
      <c r="J18" s="309">
        <f t="shared" si="3"/>
        <v>0</v>
      </c>
      <c r="K18" s="309"/>
      <c r="L18" s="309">
        <f t="shared" si="4"/>
        <v>0</v>
      </c>
      <c r="M18" s="384">
        <v>25</v>
      </c>
      <c r="N18" s="309">
        <f t="shared" si="7"/>
        <v>44672.10300000001</v>
      </c>
      <c r="O18" s="309"/>
      <c r="P18" s="309"/>
      <c r="Q18" s="309"/>
      <c r="R18" s="309">
        <f t="shared" si="5"/>
        <v>0</v>
      </c>
      <c r="S18" s="309"/>
      <c r="T18" s="309"/>
      <c r="U18" s="309">
        <f t="shared" si="8"/>
        <v>288860.63500000001</v>
      </c>
      <c r="V18" s="309"/>
      <c r="W18" s="308">
        <v>80</v>
      </c>
      <c r="X18" s="309">
        <f t="shared" si="9"/>
        <v>231088.508</v>
      </c>
      <c r="Y18" s="308">
        <v>80</v>
      </c>
      <c r="Z18" s="309">
        <f t="shared" si="10"/>
        <v>231088.508</v>
      </c>
      <c r="AA18" s="309">
        <f t="shared" si="11"/>
        <v>751037.65100000007</v>
      </c>
      <c r="AB18" s="309">
        <f t="shared" si="6"/>
        <v>464589.87120000005</v>
      </c>
      <c r="AC18" s="309">
        <f t="shared" si="12"/>
        <v>9477041.6832000017</v>
      </c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</row>
    <row r="19" spans="1:39" ht="31.5" x14ac:dyDescent="0.25">
      <c r="A19" s="382" t="s">
        <v>806</v>
      </c>
      <c r="B19" s="374">
        <v>1</v>
      </c>
      <c r="C19" s="310">
        <v>13129.2</v>
      </c>
      <c r="D19" s="309">
        <f t="shared" si="1"/>
        <v>13129.2</v>
      </c>
      <c r="E19" s="308">
        <v>40</v>
      </c>
      <c r="F19" s="309">
        <f>D19*E19/100</f>
        <v>5251.68</v>
      </c>
      <c r="G19" s="374"/>
      <c r="H19" s="309">
        <f t="shared" si="2"/>
        <v>0</v>
      </c>
      <c r="I19" s="374"/>
      <c r="J19" s="309">
        <f t="shared" si="3"/>
        <v>0</v>
      </c>
      <c r="K19" s="309"/>
      <c r="L19" s="309">
        <f t="shared" si="4"/>
        <v>0</v>
      </c>
      <c r="M19" s="384">
        <v>25</v>
      </c>
      <c r="N19" s="309">
        <f t="shared" si="7"/>
        <v>3282.3</v>
      </c>
      <c r="O19" s="309"/>
      <c r="P19" s="309">
        <v>6750</v>
      </c>
      <c r="Q19" s="309"/>
      <c r="R19" s="309">
        <f t="shared" si="5"/>
        <v>0</v>
      </c>
      <c r="S19" s="309"/>
      <c r="T19" s="309"/>
      <c r="U19" s="309">
        <f t="shared" si="8"/>
        <v>28413.18</v>
      </c>
      <c r="V19" s="309"/>
      <c r="W19" s="308">
        <v>80</v>
      </c>
      <c r="X19" s="309">
        <f t="shared" si="9"/>
        <v>22730.543999999998</v>
      </c>
      <c r="Y19" s="308">
        <v>80</v>
      </c>
      <c r="Z19" s="309">
        <f t="shared" si="10"/>
        <v>22730.543999999998</v>
      </c>
      <c r="AA19" s="309">
        <f t="shared" si="11"/>
        <v>73874.267999999996</v>
      </c>
      <c r="AB19" s="309">
        <f t="shared" si="6"/>
        <v>34135.920000000006</v>
      </c>
      <c r="AC19" s="309">
        <f t="shared" si="12"/>
        <v>920627.13600000006</v>
      </c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</row>
    <row r="20" spans="1:39" hidden="1" x14ac:dyDescent="0.25">
      <c r="A20" s="374"/>
      <c r="B20" s="374"/>
      <c r="C20" s="310"/>
      <c r="D20" s="309">
        <f t="shared" si="1"/>
        <v>0</v>
      </c>
      <c r="E20" s="308"/>
      <c r="F20" s="309">
        <f t="shared" si="13"/>
        <v>0</v>
      </c>
      <c r="G20" s="374"/>
      <c r="H20" s="309">
        <f t="shared" si="2"/>
        <v>0</v>
      </c>
      <c r="I20" s="374"/>
      <c r="J20" s="309">
        <f t="shared" si="3"/>
        <v>0</v>
      </c>
      <c r="K20" s="309"/>
      <c r="L20" s="309">
        <f t="shared" si="4"/>
        <v>0</v>
      </c>
      <c r="M20" s="384"/>
      <c r="N20" s="309">
        <f t="shared" si="7"/>
        <v>0</v>
      </c>
      <c r="O20" s="309"/>
      <c r="P20" s="309"/>
      <c r="Q20" s="309"/>
      <c r="R20" s="309">
        <f t="shared" si="5"/>
        <v>0</v>
      </c>
      <c r="S20" s="309"/>
      <c r="T20" s="309"/>
      <c r="U20" s="309">
        <f t="shared" si="8"/>
        <v>0</v>
      </c>
      <c r="V20" s="309">
        <f t="shared" ref="V20:V26" si="14">(12130*B20)-U20</f>
        <v>0</v>
      </c>
      <c r="W20" s="308">
        <v>80</v>
      </c>
      <c r="X20" s="309">
        <f t="shared" si="9"/>
        <v>0</v>
      </c>
      <c r="Y20" s="308">
        <v>80</v>
      </c>
      <c r="Z20" s="309">
        <f t="shared" si="10"/>
        <v>0</v>
      </c>
      <c r="AA20" s="309">
        <f t="shared" si="11"/>
        <v>0</v>
      </c>
      <c r="AB20" s="309">
        <f t="shared" si="6"/>
        <v>0</v>
      </c>
      <c r="AC20" s="309">
        <f t="shared" si="12"/>
        <v>0</v>
      </c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</row>
    <row r="21" spans="1:39" hidden="1" x14ac:dyDescent="0.25">
      <c r="A21" s="336"/>
      <c r="B21" s="374"/>
      <c r="C21" s="310"/>
      <c r="D21" s="309">
        <f t="shared" si="1"/>
        <v>0</v>
      </c>
      <c r="E21" s="374"/>
      <c r="F21" s="309">
        <f t="shared" si="13"/>
        <v>0</v>
      </c>
      <c r="G21" s="374"/>
      <c r="H21" s="309">
        <f t="shared" si="2"/>
        <v>0</v>
      </c>
      <c r="I21" s="374"/>
      <c r="J21" s="309">
        <f t="shared" si="3"/>
        <v>0</v>
      </c>
      <c r="K21" s="374"/>
      <c r="L21" s="309">
        <f t="shared" si="4"/>
        <v>0</v>
      </c>
      <c r="M21" s="385"/>
      <c r="N21" s="309">
        <f t="shared" si="7"/>
        <v>0</v>
      </c>
      <c r="O21" s="309"/>
      <c r="P21" s="309"/>
      <c r="Q21" s="309"/>
      <c r="R21" s="309">
        <f t="shared" si="5"/>
        <v>0</v>
      </c>
      <c r="S21" s="374"/>
      <c r="T21" s="374"/>
      <c r="U21" s="309">
        <f t="shared" si="8"/>
        <v>0</v>
      </c>
      <c r="V21" s="309">
        <f t="shared" si="14"/>
        <v>0</v>
      </c>
      <c r="W21" s="308">
        <v>80</v>
      </c>
      <c r="X21" s="309">
        <f t="shared" si="9"/>
        <v>0</v>
      </c>
      <c r="Y21" s="308">
        <v>80</v>
      </c>
      <c r="Z21" s="309">
        <f t="shared" si="10"/>
        <v>0</v>
      </c>
      <c r="AA21" s="309">
        <f t="shared" si="11"/>
        <v>0</v>
      </c>
      <c r="AB21" s="309">
        <f t="shared" si="6"/>
        <v>0</v>
      </c>
      <c r="AC21" s="309">
        <f t="shared" si="12"/>
        <v>0</v>
      </c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</row>
    <row r="22" spans="1:39" hidden="1" x14ac:dyDescent="0.25">
      <c r="A22" s="374"/>
      <c r="B22" s="374"/>
      <c r="C22" s="310"/>
      <c r="D22" s="309">
        <f t="shared" si="1"/>
        <v>0</v>
      </c>
      <c r="E22" s="308"/>
      <c r="F22" s="309">
        <f t="shared" si="13"/>
        <v>0</v>
      </c>
      <c r="G22" s="374"/>
      <c r="H22" s="309">
        <f t="shared" si="2"/>
        <v>0</v>
      </c>
      <c r="I22" s="374"/>
      <c r="J22" s="309">
        <f t="shared" si="3"/>
        <v>0</v>
      </c>
      <c r="K22" s="309"/>
      <c r="L22" s="309">
        <f t="shared" si="4"/>
        <v>0</v>
      </c>
      <c r="M22" s="384"/>
      <c r="N22" s="309">
        <f t="shared" si="7"/>
        <v>0</v>
      </c>
      <c r="O22" s="309"/>
      <c r="P22" s="309"/>
      <c r="Q22" s="309"/>
      <c r="R22" s="309">
        <f t="shared" si="5"/>
        <v>0</v>
      </c>
      <c r="S22" s="309"/>
      <c r="T22" s="309"/>
      <c r="U22" s="309">
        <f t="shared" si="8"/>
        <v>0</v>
      </c>
      <c r="V22" s="309">
        <f t="shared" si="14"/>
        <v>0</v>
      </c>
      <c r="W22" s="308">
        <v>80</v>
      </c>
      <c r="X22" s="309">
        <f t="shared" si="9"/>
        <v>0</v>
      </c>
      <c r="Y22" s="308">
        <v>80</v>
      </c>
      <c r="Z22" s="309">
        <f t="shared" si="10"/>
        <v>0</v>
      </c>
      <c r="AA22" s="309">
        <f t="shared" si="11"/>
        <v>0</v>
      </c>
      <c r="AB22" s="309">
        <f t="shared" si="6"/>
        <v>0</v>
      </c>
      <c r="AC22" s="309">
        <f t="shared" si="12"/>
        <v>0</v>
      </c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</row>
    <row r="23" spans="1:39" hidden="1" x14ac:dyDescent="0.25">
      <c r="A23" s="374"/>
      <c r="B23" s="374"/>
      <c r="C23" s="310"/>
      <c r="D23" s="309">
        <f t="shared" si="1"/>
        <v>0</v>
      </c>
      <c r="E23" s="308"/>
      <c r="F23" s="309">
        <f t="shared" si="13"/>
        <v>0</v>
      </c>
      <c r="G23" s="374"/>
      <c r="H23" s="309">
        <f t="shared" si="2"/>
        <v>0</v>
      </c>
      <c r="I23" s="374"/>
      <c r="J23" s="309">
        <f t="shared" si="3"/>
        <v>0</v>
      </c>
      <c r="K23" s="309"/>
      <c r="L23" s="309">
        <f t="shared" si="4"/>
        <v>0</v>
      </c>
      <c r="M23" s="384"/>
      <c r="N23" s="309">
        <f t="shared" si="7"/>
        <v>0</v>
      </c>
      <c r="O23" s="309"/>
      <c r="P23" s="309"/>
      <c r="Q23" s="309"/>
      <c r="R23" s="309">
        <f t="shared" si="5"/>
        <v>0</v>
      </c>
      <c r="S23" s="309"/>
      <c r="T23" s="309"/>
      <c r="U23" s="309">
        <f t="shared" si="8"/>
        <v>0</v>
      </c>
      <c r="V23" s="309">
        <f t="shared" si="14"/>
        <v>0</v>
      </c>
      <c r="W23" s="308">
        <v>80</v>
      </c>
      <c r="X23" s="309">
        <f t="shared" si="9"/>
        <v>0</v>
      </c>
      <c r="Y23" s="308">
        <v>80</v>
      </c>
      <c r="Z23" s="309">
        <f t="shared" si="10"/>
        <v>0</v>
      </c>
      <c r="AA23" s="309">
        <f t="shared" si="11"/>
        <v>0</v>
      </c>
      <c r="AB23" s="309">
        <f t="shared" si="6"/>
        <v>0</v>
      </c>
      <c r="AC23" s="309">
        <f t="shared" si="12"/>
        <v>0</v>
      </c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</row>
    <row r="24" spans="1:39" hidden="1" x14ac:dyDescent="0.25">
      <c r="A24" s="374"/>
      <c r="B24" s="374"/>
      <c r="C24" s="310"/>
      <c r="D24" s="309">
        <f t="shared" si="1"/>
        <v>0</v>
      </c>
      <c r="E24" s="308"/>
      <c r="F24" s="309">
        <f t="shared" si="13"/>
        <v>0</v>
      </c>
      <c r="G24" s="374"/>
      <c r="H24" s="309">
        <f t="shared" si="2"/>
        <v>0</v>
      </c>
      <c r="I24" s="374"/>
      <c r="J24" s="309">
        <f t="shared" si="3"/>
        <v>0</v>
      </c>
      <c r="K24" s="309"/>
      <c r="L24" s="309">
        <f t="shared" si="4"/>
        <v>0</v>
      </c>
      <c r="M24" s="384"/>
      <c r="N24" s="309">
        <f t="shared" si="7"/>
        <v>0</v>
      </c>
      <c r="O24" s="309"/>
      <c r="P24" s="309"/>
      <c r="Q24" s="309"/>
      <c r="R24" s="309">
        <f t="shared" si="5"/>
        <v>0</v>
      </c>
      <c r="S24" s="309"/>
      <c r="T24" s="309"/>
      <c r="U24" s="309">
        <f t="shared" si="8"/>
        <v>0</v>
      </c>
      <c r="V24" s="309">
        <f t="shared" si="14"/>
        <v>0</v>
      </c>
      <c r="W24" s="308">
        <v>80</v>
      </c>
      <c r="X24" s="309">
        <f t="shared" si="9"/>
        <v>0</v>
      </c>
      <c r="Y24" s="308">
        <v>80</v>
      </c>
      <c r="Z24" s="309">
        <f t="shared" si="10"/>
        <v>0</v>
      </c>
      <c r="AA24" s="309">
        <f t="shared" si="11"/>
        <v>0</v>
      </c>
      <c r="AB24" s="309">
        <f t="shared" si="6"/>
        <v>0</v>
      </c>
      <c r="AC24" s="309">
        <f t="shared" si="12"/>
        <v>0</v>
      </c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</row>
    <row r="25" spans="1:39" ht="17.25" hidden="1" customHeight="1" x14ac:dyDescent="0.25">
      <c r="A25" s="336"/>
      <c r="B25" s="374"/>
      <c r="C25" s="310"/>
      <c r="D25" s="309">
        <f t="shared" si="1"/>
        <v>0</v>
      </c>
      <c r="E25" s="374"/>
      <c r="F25" s="309">
        <f t="shared" si="13"/>
        <v>0</v>
      </c>
      <c r="G25" s="374"/>
      <c r="H25" s="309">
        <f t="shared" si="2"/>
        <v>0</v>
      </c>
      <c r="I25" s="374"/>
      <c r="J25" s="309">
        <f t="shared" si="3"/>
        <v>0</v>
      </c>
      <c r="K25" s="374"/>
      <c r="L25" s="309">
        <f t="shared" si="4"/>
        <v>0</v>
      </c>
      <c r="M25" s="385"/>
      <c r="N25" s="309">
        <f t="shared" si="7"/>
        <v>0</v>
      </c>
      <c r="O25" s="309"/>
      <c r="P25" s="309"/>
      <c r="Q25" s="309"/>
      <c r="R25" s="309">
        <f t="shared" si="5"/>
        <v>0</v>
      </c>
      <c r="S25" s="374"/>
      <c r="T25" s="374"/>
      <c r="U25" s="309">
        <f t="shared" si="8"/>
        <v>0</v>
      </c>
      <c r="V25" s="309">
        <f t="shared" si="14"/>
        <v>0</v>
      </c>
      <c r="W25" s="308">
        <v>80</v>
      </c>
      <c r="X25" s="309">
        <f t="shared" si="9"/>
        <v>0</v>
      </c>
      <c r="Y25" s="308">
        <v>80</v>
      </c>
      <c r="Z25" s="309">
        <f t="shared" si="10"/>
        <v>0</v>
      </c>
      <c r="AA25" s="309">
        <f t="shared" si="11"/>
        <v>0</v>
      </c>
      <c r="AB25" s="309">
        <f t="shared" si="6"/>
        <v>0</v>
      </c>
      <c r="AC25" s="309">
        <f t="shared" si="12"/>
        <v>0</v>
      </c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</row>
    <row r="26" spans="1:39" ht="21.75" hidden="1" customHeight="1" x14ac:dyDescent="0.25">
      <c r="A26" s="374"/>
      <c r="B26" s="374"/>
      <c r="C26" s="310"/>
      <c r="D26" s="309">
        <f t="shared" si="1"/>
        <v>0</v>
      </c>
      <c r="E26" s="308"/>
      <c r="F26" s="309">
        <f t="shared" si="13"/>
        <v>0</v>
      </c>
      <c r="G26" s="374"/>
      <c r="H26" s="309">
        <f t="shared" si="2"/>
        <v>0</v>
      </c>
      <c r="I26" s="374"/>
      <c r="J26" s="309">
        <f t="shared" si="3"/>
        <v>0</v>
      </c>
      <c r="K26" s="309"/>
      <c r="L26" s="309">
        <f t="shared" si="4"/>
        <v>0</v>
      </c>
      <c r="M26" s="384"/>
      <c r="N26" s="309">
        <f t="shared" si="7"/>
        <v>0</v>
      </c>
      <c r="O26" s="309"/>
      <c r="P26" s="309"/>
      <c r="Q26" s="309"/>
      <c r="R26" s="309">
        <f t="shared" si="5"/>
        <v>0</v>
      </c>
      <c r="S26" s="309"/>
      <c r="T26" s="309"/>
      <c r="U26" s="309">
        <f t="shared" si="8"/>
        <v>0</v>
      </c>
      <c r="V26" s="309">
        <f t="shared" si="14"/>
        <v>0</v>
      </c>
      <c r="W26" s="308">
        <v>80</v>
      </c>
      <c r="X26" s="309">
        <f t="shared" si="9"/>
        <v>0</v>
      </c>
      <c r="Y26" s="308">
        <v>80</v>
      </c>
      <c r="Z26" s="309">
        <f t="shared" si="10"/>
        <v>0</v>
      </c>
      <c r="AA26" s="309">
        <f>D26+F26+H26+J26+X26+Z26+L26+N26+T26+P26+R26+V26</f>
        <v>0</v>
      </c>
      <c r="AB26" s="309">
        <f t="shared" si="6"/>
        <v>0</v>
      </c>
      <c r="AC26" s="309">
        <f t="shared" si="12"/>
        <v>0</v>
      </c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</row>
    <row r="27" spans="1:39" ht="29.25" x14ac:dyDescent="0.25">
      <c r="A27" s="323" t="s">
        <v>678</v>
      </c>
      <c r="B27" s="323">
        <f>SUM(B12:B26)</f>
        <v>18.61</v>
      </c>
      <c r="C27" s="276">
        <f>C12+C13+C14+C16+C19+C20+C21+C22+C25+C26+C17+C18+C23+C24</f>
        <v>74450.899999999994</v>
      </c>
      <c r="D27" s="276">
        <f>SUM(D12:D26)</f>
        <v>239984.06200000003</v>
      </c>
      <c r="E27" s="276"/>
      <c r="F27" s="276">
        <f>SUM(F12:F26)</f>
        <v>87611.360000000015</v>
      </c>
      <c r="G27" s="276"/>
      <c r="H27" s="276">
        <f>SUM(H12:H26)</f>
        <v>0</v>
      </c>
      <c r="I27" s="276"/>
      <c r="J27" s="276">
        <f>SUM(J12:J26)</f>
        <v>0</v>
      </c>
      <c r="K27" s="276"/>
      <c r="L27" s="276">
        <f>SUM(L12:L26)</f>
        <v>0</v>
      </c>
      <c r="M27" s="276"/>
      <c r="N27" s="276">
        <f>SUM(N12:N26)</f>
        <v>59996.015500000016</v>
      </c>
      <c r="O27" s="276"/>
      <c r="P27" s="276">
        <f>SUM(P12:P26)</f>
        <v>6750</v>
      </c>
      <c r="Q27" s="276"/>
      <c r="R27" s="276">
        <f>18758000-12927411.41</f>
        <v>5830588.5899999999</v>
      </c>
      <c r="S27" s="276"/>
      <c r="T27" s="276">
        <f>SUM(T12:T26)</f>
        <v>0</v>
      </c>
      <c r="U27" s="276"/>
      <c r="V27" s="276"/>
      <c r="W27" s="276"/>
      <c r="X27" s="276">
        <f>SUM(X12:X26)</f>
        <v>315473.15000000002</v>
      </c>
      <c r="Y27" s="276"/>
      <c r="Z27" s="276">
        <f>SUM(Z12:Z26)</f>
        <v>315473.15000000002</v>
      </c>
      <c r="AA27" s="276">
        <f>SUM(AA12:AA26)</f>
        <v>1025287.7375000002</v>
      </c>
      <c r="AB27" s="276">
        <f>SUM(AB12:AB26)</f>
        <v>623958.56120000011</v>
      </c>
      <c r="AC27" s="276">
        <v>18758880</v>
      </c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</row>
    <row r="28" spans="1:39" s="277" customFormat="1" ht="15" customHeight="1" x14ac:dyDescent="0.25">
      <c r="A28" s="575" t="s">
        <v>679</v>
      </c>
      <c r="B28" s="576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</row>
    <row r="29" spans="1:39" s="277" customFormat="1" ht="31.5" x14ac:dyDescent="0.25">
      <c r="A29" s="382" t="s">
        <v>807</v>
      </c>
      <c r="B29" s="335">
        <v>1</v>
      </c>
      <c r="C29" s="311">
        <v>12462.32</v>
      </c>
      <c r="D29" s="309">
        <f t="shared" ref="D29:D46" si="15">C29*B29</f>
        <v>12462.32</v>
      </c>
      <c r="E29" s="311">
        <v>30</v>
      </c>
      <c r="F29" s="309">
        <f>D29*E29/100</f>
        <v>3738.6959999999999</v>
      </c>
      <c r="G29" s="311"/>
      <c r="H29" s="309">
        <f t="shared" ref="H29:H44" si="16">D29*G29</f>
        <v>0</v>
      </c>
      <c r="I29" s="311"/>
      <c r="J29" s="309">
        <f t="shared" ref="J29:J47" si="17">D29*I29/100</f>
        <v>0</v>
      </c>
      <c r="K29" s="311"/>
      <c r="L29" s="309">
        <f t="shared" ref="L29:L47" si="18">D29*K29</f>
        <v>0</v>
      </c>
      <c r="M29" s="311"/>
      <c r="N29" s="309">
        <f t="shared" ref="N29:N47" si="19">D29*M29</f>
        <v>0</v>
      </c>
      <c r="O29" s="309"/>
      <c r="P29" s="309"/>
      <c r="Q29" s="309"/>
      <c r="R29" s="309">
        <f t="shared" ref="R29:R47" si="20">D29*Q29</f>
        <v>0</v>
      </c>
      <c r="S29" s="311"/>
      <c r="T29" s="311"/>
      <c r="U29" s="309">
        <f t="shared" ref="U29:U47" si="21">D29+F29+H29+J29+L29+N29+P29+R29+T29</f>
        <v>16201.016</v>
      </c>
      <c r="V29" s="309"/>
      <c r="W29" s="308">
        <v>80</v>
      </c>
      <c r="X29" s="309">
        <f t="shared" ref="X29:X44" si="22">(U29+V29)*W29/100</f>
        <v>12960.8128</v>
      </c>
      <c r="Y29" s="308">
        <v>80</v>
      </c>
      <c r="Z29" s="309">
        <f t="shared" ref="Z29:Z44" si="23">(U29+V29)*Y29/100</f>
        <v>12960.8128</v>
      </c>
      <c r="AA29" s="309">
        <f t="shared" ref="AA29:AA47" si="24">D29+F29+H29+J29+X29+Z29+L29+N29+T29+P29+R29+V29</f>
        <v>42122.641600000003</v>
      </c>
      <c r="AB29" s="309">
        <f t="shared" ref="AB29:AB44" si="25">D29*2.6</f>
        <v>32402.031999999999</v>
      </c>
      <c r="AC29" s="309">
        <f t="shared" ref="AC29:AC44" si="26">(AA29*12)+AB29</f>
        <v>537873.73120000004</v>
      </c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</row>
    <row r="30" spans="1:39" s="277" customFormat="1" ht="15.75" x14ac:dyDescent="0.25">
      <c r="A30" s="387" t="s">
        <v>735</v>
      </c>
      <c r="B30" s="335">
        <v>0.5</v>
      </c>
      <c r="C30" s="311">
        <v>10349.14</v>
      </c>
      <c r="D30" s="309">
        <f t="shared" si="15"/>
        <v>5174.57</v>
      </c>
      <c r="E30" s="311">
        <v>30</v>
      </c>
      <c r="F30" s="309">
        <f>D30*E30/100</f>
        <v>1552.3709999999999</v>
      </c>
      <c r="G30" s="311"/>
      <c r="H30" s="309">
        <f t="shared" si="16"/>
        <v>0</v>
      </c>
      <c r="I30" s="311">
        <v>4</v>
      </c>
      <c r="J30" s="309">
        <f t="shared" si="17"/>
        <v>206.9828</v>
      </c>
      <c r="K30" s="311"/>
      <c r="L30" s="309">
        <f t="shared" si="18"/>
        <v>0</v>
      </c>
      <c r="M30" s="311"/>
      <c r="N30" s="309">
        <f t="shared" si="19"/>
        <v>0</v>
      </c>
      <c r="O30" s="309"/>
      <c r="P30" s="309"/>
      <c r="Q30" s="309"/>
      <c r="R30" s="309">
        <f t="shared" si="20"/>
        <v>0</v>
      </c>
      <c r="S30" s="311"/>
      <c r="T30" s="311"/>
      <c r="U30" s="309">
        <f t="shared" si="21"/>
        <v>6933.9237999999996</v>
      </c>
      <c r="V30" s="309"/>
      <c r="W30" s="308">
        <v>80</v>
      </c>
      <c r="X30" s="309">
        <f t="shared" si="22"/>
        <v>5547.13904</v>
      </c>
      <c r="Y30" s="308">
        <v>80</v>
      </c>
      <c r="Z30" s="309">
        <f t="shared" si="23"/>
        <v>5547.13904</v>
      </c>
      <c r="AA30" s="309">
        <f t="shared" si="24"/>
        <v>18028.201880000001</v>
      </c>
      <c r="AB30" s="309">
        <f t="shared" si="25"/>
        <v>13453.882</v>
      </c>
      <c r="AC30" s="309">
        <f t="shared" si="26"/>
        <v>229792.30456000002</v>
      </c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</row>
    <row r="31" spans="1:39" s="277" customFormat="1" ht="15.75" x14ac:dyDescent="0.25">
      <c r="A31" s="387" t="s">
        <v>735</v>
      </c>
      <c r="B31" s="335">
        <v>0.5</v>
      </c>
      <c r="C31" s="311">
        <v>10349.14</v>
      </c>
      <c r="D31" s="309">
        <f t="shared" si="15"/>
        <v>5174.57</v>
      </c>
      <c r="E31" s="311">
        <v>15</v>
      </c>
      <c r="F31" s="309">
        <f>D31*E31/100</f>
        <v>776.18549999999993</v>
      </c>
      <c r="G31" s="311"/>
      <c r="H31" s="309">
        <f t="shared" si="16"/>
        <v>0</v>
      </c>
      <c r="I31" s="311"/>
      <c r="J31" s="309">
        <f t="shared" si="17"/>
        <v>0</v>
      </c>
      <c r="K31" s="311"/>
      <c r="L31" s="309">
        <f t="shared" si="18"/>
        <v>0</v>
      </c>
      <c r="M31" s="311"/>
      <c r="N31" s="309">
        <f t="shared" si="19"/>
        <v>0</v>
      </c>
      <c r="O31" s="309"/>
      <c r="P31" s="309"/>
      <c r="Q31" s="309"/>
      <c r="R31" s="309">
        <f t="shared" si="20"/>
        <v>0</v>
      </c>
      <c r="S31" s="311"/>
      <c r="T31" s="311"/>
      <c r="U31" s="309">
        <f t="shared" si="21"/>
        <v>5950.7554999999993</v>
      </c>
      <c r="V31" s="309">
        <f>(12130*B31)-U31</f>
        <v>114.2445000000007</v>
      </c>
      <c r="W31" s="308">
        <v>80</v>
      </c>
      <c r="X31" s="309">
        <f t="shared" si="22"/>
        <v>4852</v>
      </c>
      <c r="Y31" s="308">
        <v>80</v>
      </c>
      <c r="Z31" s="309">
        <f t="shared" si="23"/>
        <v>4852</v>
      </c>
      <c r="AA31" s="309">
        <f t="shared" si="24"/>
        <v>15769</v>
      </c>
      <c r="AB31" s="309">
        <f t="shared" si="25"/>
        <v>13453.882</v>
      </c>
      <c r="AC31" s="309">
        <f t="shared" si="26"/>
        <v>202681.88200000001</v>
      </c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</row>
    <row r="32" spans="1:39" ht="15.75" x14ac:dyDescent="0.25">
      <c r="A32" s="387" t="s">
        <v>734</v>
      </c>
      <c r="B32" s="335">
        <v>1</v>
      </c>
      <c r="C32" s="311">
        <v>13600.18</v>
      </c>
      <c r="D32" s="309">
        <f t="shared" si="15"/>
        <v>13600.18</v>
      </c>
      <c r="E32" s="311">
        <v>15</v>
      </c>
      <c r="F32" s="309">
        <f t="shared" ref="F32:F46" si="27">D32*E32/100</f>
        <v>2040.027</v>
      </c>
      <c r="G32" s="311"/>
      <c r="H32" s="309">
        <f t="shared" si="16"/>
        <v>0</v>
      </c>
      <c r="I32" s="311"/>
      <c r="J32" s="309">
        <f t="shared" si="17"/>
        <v>0</v>
      </c>
      <c r="K32" s="311"/>
      <c r="L32" s="309">
        <f t="shared" si="18"/>
        <v>0</v>
      </c>
      <c r="M32" s="311"/>
      <c r="N32" s="309">
        <f t="shared" si="19"/>
        <v>0</v>
      </c>
      <c r="O32" s="309"/>
      <c r="P32" s="309"/>
      <c r="Q32" s="309"/>
      <c r="R32" s="309">
        <f t="shared" si="20"/>
        <v>0</v>
      </c>
      <c r="S32" s="311"/>
      <c r="T32" s="311"/>
      <c r="U32" s="309">
        <f t="shared" si="21"/>
        <v>15640.207</v>
      </c>
      <c r="V32" s="309"/>
      <c r="W32" s="308">
        <v>80</v>
      </c>
      <c r="X32" s="309">
        <f t="shared" si="22"/>
        <v>12512.1656</v>
      </c>
      <c r="Y32" s="308">
        <v>80</v>
      </c>
      <c r="Z32" s="309">
        <f t="shared" si="23"/>
        <v>12512.1656</v>
      </c>
      <c r="AA32" s="309">
        <f t="shared" si="24"/>
        <v>40664.538200000003</v>
      </c>
      <c r="AB32" s="309">
        <f t="shared" si="25"/>
        <v>35360.468000000001</v>
      </c>
      <c r="AC32" s="309">
        <f t="shared" si="26"/>
        <v>523334.9264</v>
      </c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</row>
    <row r="33" spans="1:39" ht="15.75" x14ac:dyDescent="0.25">
      <c r="A33" s="382" t="s">
        <v>808</v>
      </c>
      <c r="B33" s="388">
        <v>1</v>
      </c>
      <c r="C33" s="383">
        <f t="shared" ref="C33:C50" si="28">6795.36*1.042</f>
        <v>7080.76512</v>
      </c>
      <c r="D33" s="309">
        <f t="shared" si="15"/>
        <v>7080.76512</v>
      </c>
      <c r="E33" s="388">
        <v>20</v>
      </c>
      <c r="F33" s="309">
        <f t="shared" si="27"/>
        <v>1416.153024</v>
      </c>
      <c r="G33" s="311"/>
      <c r="H33" s="309">
        <f t="shared" si="16"/>
        <v>0</v>
      </c>
      <c r="I33" s="311"/>
      <c r="J33" s="309">
        <f t="shared" si="17"/>
        <v>0</v>
      </c>
      <c r="K33" s="311"/>
      <c r="L33" s="309">
        <f t="shared" si="18"/>
        <v>0</v>
      </c>
      <c r="M33" s="311"/>
      <c r="N33" s="309">
        <f t="shared" si="19"/>
        <v>0</v>
      </c>
      <c r="O33" s="309"/>
      <c r="P33" s="309"/>
      <c r="Q33" s="309"/>
      <c r="R33" s="309">
        <f t="shared" si="20"/>
        <v>0</v>
      </c>
      <c r="S33" s="311"/>
      <c r="T33" s="311"/>
      <c r="U33" s="309">
        <f t="shared" si="21"/>
        <v>8496.9181439999993</v>
      </c>
      <c r="V33" s="309">
        <f t="shared" ref="V33:V45" si="29">(12130*B33)-U33</f>
        <v>3633.0818560000007</v>
      </c>
      <c r="W33" s="308">
        <v>80</v>
      </c>
      <c r="X33" s="309">
        <f t="shared" si="22"/>
        <v>9704</v>
      </c>
      <c r="Y33" s="308">
        <v>80</v>
      </c>
      <c r="Z33" s="309">
        <f t="shared" si="23"/>
        <v>9704</v>
      </c>
      <c r="AA33" s="309">
        <f t="shared" si="24"/>
        <v>31538</v>
      </c>
      <c r="AB33" s="309">
        <f t="shared" si="25"/>
        <v>18409.989312000002</v>
      </c>
      <c r="AC33" s="309">
        <f t="shared" si="26"/>
        <v>396865.98931199999</v>
      </c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</row>
    <row r="34" spans="1:39" ht="15.75" x14ac:dyDescent="0.25">
      <c r="A34" s="382" t="s">
        <v>810</v>
      </c>
      <c r="B34" s="388">
        <v>1</v>
      </c>
      <c r="C34" s="383">
        <f t="shared" si="28"/>
        <v>7080.76512</v>
      </c>
      <c r="D34" s="309">
        <f t="shared" si="15"/>
        <v>7080.76512</v>
      </c>
      <c r="E34" s="388">
        <v>10</v>
      </c>
      <c r="F34" s="309">
        <f t="shared" si="27"/>
        <v>708.07651199999998</v>
      </c>
      <c r="G34" s="311"/>
      <c r="H34" s="309">
        <f t="shared" si="16"/>
        <v>0</v>
      </c>
      <c r="I34" s="311">
        <v>4</v>
      </c>
      <c r="J34" s="309">
        <f t="shared" si="17"/>
        <v>283.23060479999998</v>
      </c>
      <c r="K34" s="311"/>
      <c r="L34" s="309">
        <f t="shared" si="18"/>
        <v>0</v>
      </c>
      <c r="M34" s="311"/>
      <c r="N34" s="309">
        <f t="shared" si="19"/>
        <v>0</v>
      </c>
      <c r="O34" s="309"/>
      <c r="P34" s="309"/>
      <c r="Q34" s="309"/>
      <c r="R34" s="309">
        <f t="shared" si="20"/>
        <v>0</v>
      </c>
      <c r="S34" s="311"/>
      <c r="T34" s="311"/>
      <c r="U34" s="309">
        <f t="shared" si="21"/>
        <v>8072.0722367999997</v>
      </c>
      <c r="V34" s="309">
        <f t="shared" si="29"/>
        <v>4057.9277632000003</v>
      </c>
      <c r="W34" s="308">
        <v>80</v>
      </c>
      <c r="X34" s="309">
        <f t="shared" si="22"/>
        <v>9704</v>
      </c>
      <c r="Y34" s="308">
        <v>80</v>
      </c>
      <c r="Z34" s="309">
        <f t="shared" si="23"/>
        <v>9704</v>
      </c>
      <c r="AA34" s="309">
        <f t="shared" si="24"/>
        <v>31538</v>
      </c>
      <c r="AB34" s="309">
        <f t="shared" si="25"/>
        <v>18409.989312000002</v>
      </c>
      <c r="AC34" s="309">
        <f t="shared" si="26"/>
        <v>396865.98931199999</v>
      </c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</row>
    <row r="35" spans="1:39" ht="15.75" x14ac:dyDescent="0.25">
      <c r="A35" s="388" t="s">
        <v>811</v>
      </c>
      <c r="B35" s="388">
        <v>1</v>
      </c>
      <c r="C35" s="383">
        <f t="shared" si="28"/>
        <v>7080.76512</v>
      </c>
      <c r="D35" s="309">
        <f t="shared" si="15"/>
        <v>7080.76512</v>
      </c>
      <c r="E35" s="388">
        <v>30</v>
      </c>
      <c r="F35" s="309">
        <f t="shared" si="27"/>
        <v>2124.2295360000003</v>
      </c>
      <c r="G35" s="311"/>
      <c r="H35" s="309">
        <f t="shared" si="16"/>
        <v>0</v>
      </c>
      <c r="I35" s="311"/>
      <c r="J35" s="309">
        <f t="shared" si="17"/>
        <v>0</v>
      </c>
      <c r="K35" s="311"/>
      <c r="L35" s="309">
        <f t="shared" si="18"/>
        <v>0</v>
      </c>
      <c r="M35" s="311"/>
      <c r="N35" s="309">
        <f t="shared" si="19"/>
        <v>0</v>
      </c>
      <c r="O35" s="309"/>
      <c r="P35" s="309"/>
      <c r="Q35" s="309"/>
      <c r="R35" s="309">
        <f t="shared" si="20"/>
        <v>0</v>
      </c>
      <c r="S35" s="311"/>
      <c r="T35" s="311"/>
      <c r="U35" s="309">
        <f t="shared" si="21"/>
        <v>9204.9946560000008</v>
      </c>
      <c r="V35" s="309">
        <f t="shared" si="29"/>
        <v>2925.0053439999992</v>
      </c>
      <c r="W35" s="308">
        <v>80</v>
      </c>
      <c r="X35" s="309">
        <f t="shared" si="22"/>
        <v>9704</v>
      </c>
      <c r="Y35" s="308">
        <v>80</v>
      </c>
      <c r="Z35" s="309">
        <f t="shared" si="23"/>
        <v>9704</v>
      </c>
      <c r="AA35" s="309">
        <f t="shared" si="24"/>
        <v>31538</v>
      </c>
      <c r="AB35" s="309">
        <f t="shared" si="25"/>
        <v>18409.989312000002</v>
      </c>
      <c r="AC35" s="309">
        <f t="shared" si="26"/>
        <v>396865.98931199999</v>
      </c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</row>
    <row r="36" spans="1:39" ht="15.75" x14ac:dyDescent="0.25">
      <c r="A36" s="388" t="s">
        <v>811</v>
      </c>
      <c r="B36" s="388">
        <v>1</v>
      </c>
      <c r="C36" s="383">
        <f t="shared" si="28"/>
        <v>7080.76512</v>
      </c>
      <c r="D36" s="309">
        <f t="shared" si="15"/>
        <v>7080.76512</v>
      </c>
      <c r="E36" s="388">
        <v>10</v>
      </c>
      <c r="F36" s="309">
        <f t="shared" si="27"/>
        <v>708.07651199999998</v>
      </c>
      <c r="G36" s="311"/>
      <c r="H36" s="309">
        <f t="shared" si="16"/>
        <v>0</v>
      </c>
      <c r="I36" s="311"/>
      <c r="J36" s="309">
        <f t="shared" si="17"/>
        <v>0</v>
      </c>
      <c r="K36" s="311"/>
      <c r="L36" s="309">
        <f t="shared" si="18"/>
        <v>0</v>
      </c>
      <c r="M36" s="311"/>
      <c r="N36" s="309">
        <f t="shared" si="19"/>
        <v>0</v>
      </c>
      <c r="O36" s="309"/>
      <c r="P36" s="309"/>
      <c r="Q36" s="309"/>
      <c r="R36" s="309">
        <f t="shared" si="20"/>
        <v>0</v>
      </c>
      <c r="S36" s="311"/>
      <c r="T36" s="311"/>
      <c r="U36" s="309">
        <f t="shared" si="21"/>
        <v>7788.8416319999997</v>
      </c>
      <c r="V36" s="309">
        <f t="shared" si="29"/>
        <v>4341.1583680000003</v>
      </c>
      <c r="W36" s="308">
        <v>80</v>
      </c>
      <c r="X36" s="309">
        <f t="shared" si="22"/>
        <v>9704</v>
      </c>
      <c r="Y36" s="308">
        <v>80</v>
      </c>
      <c r="Z36" s="309">
        <f t="shared" si="23"/>
        <v>9704</v>
      </c>
      <c r="AA36" s="309">
        <f t="shared" si="24"/>
        <v>31538</v>
      </c>
      <c r="AB36" s="309">
        <f t="shared" si="25"/>
        <v>18409.989312000002</v>
      </c>
      <c r="AC36" s="309">
        <f t="shared" si="26"/>
        <v>396865.98931199999</v>
      </c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</row>
    <row r="37" spans="1:39" ht="31.5" x14ac:dyDescent="0.25">
      <c r="A37" s="382" t="s">
        <v>811</v>
      </c>
      <c r="B37" s="388">
        <v>0.5</v>
      </c>
      <c r="C37" s="383">
        <f t="shared" si="28"/>
        <v>7080.76512</v>
      </c>
      <c r="D37" s="309">
        <f t="shared" si="15"/>
        <v>3540.38256</v>
      </c>
      <c r="E37" s="388">
        <v>10</v>
      </c>
      <c r="F37" s="309">
        <f t="shared" si="27"/>
        <v>354.03825599999999</v>
      </c>
      <c r="G37" s="311"/>
      <c r="H37" s="309">
        <f t="shared" si="16"/>
        <v>0</v>
      </c>
      <c r="I37" s="311"/>
      <c r="J37" s="309">
        <f t="shared" si="17"/>
        <v>0</v>
      </c>
      <c r="K37" s="311"/>
      <c r="L37" s="309">
        <f t="shared" si="18"/>
        <v>0</v>
      </c>
      <c r="M37" s="311"/>
      <c r="N37" s="309">
        <f t="shared" si="19"/>
        <v>0</v>
      </c>
      <c r="O37" s="309"/>
      <c r="P37" s="309"/>
      <c r="Q37" s="309"/>
      <c r="R37" s="309">
        <f t="shared" si="20"/>
        <v>0</v>
      </c>
      <c r="S37" s="311"/>
      <c r="T37" s="311"/>
      <c r="U37" s="309">
        <f t="shared" si="21"/>
        <v>3894.4208159999998</v>
      </c>
      <c r="V37" s="309">
        <f t="shared" si="29"/>
        <v>2170.5791840000002</v>
      </c>
      <c r="W37" s="308">
        <v>80</v>
      </c>
      <c r="X37" s="309">
        <f t="shared" si="22"/>
        <v>4852</v>
      </c>
      <c r="Y37" s="308">
        <v>80</v>
      </c>
      <c r="Z37" s="309">
        <f t="shared" si="23"/>
        <v>4852</v>
      </c>
      <c r="AA37" s="309">
        <f t="shared" si="24"/>
        <v>15769</v>
      </c>
      <c r="AB37" s="309">
        <f t="shared" si="25"/>
        <v>9204.9946560000008</v>
      </c>
      <c r="AC37" s="309">
        <f t="shared" si="26"/>
        <v>198432.994656</v>
      </c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</row>
    <row r="38" spans="1:39" ht="31.5" x14ac:dyDescent="0.25">
      <c r="A38" s="382" t="s">
        <v>812</v>
      </c>
      <c r="B38" s="388">
        <v>1</v>
      </c>
      <c r="C38" s="383">
        <f t="shared" si="28"/>
        <v>7080.76512</v>
      </c>
      <c r="D38" s="309">
        <f t="shared" si="15"/>
        <v>7080.76512</v>
      </c>
      <c r="E38" s="388">
        <v>30</v>
      </c>
      <c r="F38" s="309">
        <f t="shared" si="27"/>
        <v>2124.2295360000003</v>
      </c>
      <c r="G38" s="311"/>
      <c r="H38" s="309">
        <f t="shared" si="16"/>
        <v>0</v>
      </c>
      <c r="I38" s="311"/>
      <c r="J38" s="309">
        <f t="shared" si="17"/>
        <v>0</v>
      </c>
      <c r="K38" s="311"/>
      <c r="L38" s="309">
        <f t="shared" si="18"/>
        <v>0</v>
      </c>
      <c r="M38" s="311"/>
      <c r="N38" s="309">
        <f t="shared" si="19"/>
        <v>0</v>
      </c>
      <c r="O38" s="309"/>
      <c r="P38" s="309"/>
      <c r="Q38" s="309"/>
      <c r="R38" s="309">
        <f t="shared" si="20"/>
        <v>0</v>
      </c>
      <c r="S38" s="311"/>
      <c r="T38" s="311"/>
      <c r="U38" s="309">
        <f t="shared" si="21"/>
        <v>9204.9946560000008</v>
      </c>
      <c r="V38" s="309">
        <f t="shared" si="29"/>
        <v>2925.0053439999992</v>
      </c>
      <c r="W38" s="308">
        <v>80</v>
      </c>
      <c r="X38" s="309">
        <f t="shared" si="22"/>
        <v>9704</v>
      </c>
      <c r="Y38" s="308">
        <v>80</v>
      </c>
      <c r="Z38" s="309">
        <f t="shared" si="23"/>
        <v>9704</v>
      </c>
      <c r="AA38" s="309">
        <f t="shared" si="24"/>
        <v>31538</v>
      </c>
      <c r="AB38" s="309">
        <f t="shared" si="25"/>
        <v>18409.989312000002</v>
      </c>
      <c r="AC38" s="309">
        <f t="shared" si="26"/>
        <v>396865.98931199999</v>
      </c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</row>
    <row r="39" spans="1:39" ht="31.5" x14ac:dyDescent="0.25">
      <c r="A39" s="382" t="s">
        <v>812</v>
      </c>
      <c r="B39" s="388">
        <v>1</v>
      </c>
      <c r="C39" s="383">
        <f t="shared" si="28"/>
        <v>7080.76512</v>
      </c>
      <c r="D39" s="309">
        <f t="shared" si="15"/>
        <v>7080.76512</v>
      </c>
      <c r="E39" s="388">
        <v>30</v>
      </c>
      <c r="F39" s="309">
        <f t="shared" si="27"/>
        <v>2124.2295360000003</v>
      </c>
      <c r="G39" s="311"/>
      <c r="H39" s="309">
        <f t="shared" si="16"/>
        <v>0</v>
      </c>
      <c r="I39" s="311"/>
      <c r="J39" s="309">
        <f t="shared" si="17"/>
        <v>0</v>
      </c>
      <c r="K39" s="311"/>
      <c r="L39" s="309">
        <f t="shared" si="18"/>
        <v>0</v>
      </c>
      <c r="M39" s="311"/>
      <c r="N39" s="309">
        <f t="shared" si="19"/>
        <v>0</v>
      </c>
      <c r="O39" s="309"/>
      <c r="P39" s="309"/>
      <c r="Q39" s="309"/>
      <c r="R39" s="309">
        <f t="shared" si="20"/>
        <v>0</v>
      </c>
      <c r="S39" s="311"/>
      <c r="T39" s="311"/>
      <c r="U39" s="309">
        <f t="shared" si="21"/>
        <v>9204.9946560000008</v>
      </c>
      <c r="V39" s="309">
        <f t="shared" si="29"/>
        <v>2925.0053439999992</v>
      </c>
      <c r="W39" s="308">
        <v>80</v>
      </c>
      <c r="X39" s="309">
        <f t="shared" si="22"/>
        <v>9704</v>
      </c>
      <c r="Y39" s="308">
        <v>80</v>
      </c>
      <c r="Z39" s="309">
        <f t="shared" si="23"/>
        <v>9704</v>
      </c>
      <c r="AA39" s="309">
        <f t="shared" si="24"/>
        <v>31538</v>
      </c>
      <c r="AB39" s="309">
        <f t="shared" si="25"/>
        <v>18409.989312000002</v>
      </c>
      <c r="AC39" s="309">
        <f t="shared" si="26"/>
        <v>396865.98931199999</v>
      </c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</row>
    <row r="40" spans="1:39" ht="31.5" x14ac:dyDescent="0.25">
      <c r="A40" s="382" t="s">
        <v>812</v>
      </c>
      <c r="B40" s="388">
        <v>1.5</v>
      </c>
      <c r="C40" s="383">
        <f t="shared" si="28"/>
        <v>7080.76512</v>
      </c>
      <c r="D40" s="309">
        <f t="shared" si="15"/>
        <v>10621.14768</v>
      </c>
      <c r="E40" s="388">
        <v>15</v>
      </c>
      <c r="F40" s="309">
        <f t="shared" si="27"/>
        <v>1593.1721520000001</v>
      </c>
      <c r="G40" s="311"/>
      <c r="H40" s="309">
        <f t="shared" si="16"/>
        <v>0</v>
      </c>
      <c r="I40" s="311"/>
      <c r="J40" s="309">
        <f t="shared" si="17"/>
        <v>0</v>
      </c>
      <c r="K40" s="311"/>
      <c r="L40" s="309">
        <f t="shared" si="18"/>
        <v>0</v>
      </c>
      <c r="M40" s="311"/>
      <c r="N40" s="309">
        <f t="shared" si="19"/>
        <v>0</v>
      </c>
      <c r="O40" s="309"/>
      <c r="P40" s="309"/>
      <c r="Q40" s="309"/>
      <c r="R40" s="309">
        <f t="shared" si="20"/>
        <v>0</v>
      </c>
      <c r="S40" s="311"/>
      <c r="T40" s="311"/>
      <c r="U40" s="309">
        <f t="shared" si="21"/>
        <v>12214.319832000001</v>
      </c>
      <c r="V40" s="309">
        <f t="shared" si="29"/>
        <v>5980.680167999999</v>
      </c>
      <c r="W40" s="308">
        <v>80</v>
      </c>
      <c r="X40" s="309">
        <f t="shared" si="22"/>
        <v>14556</v>
      </c>
      <c r="Y40" s="308">
        <v>80</v>
      </c>
      <c r="Z40" s="309">
        <f t="shared" si="23"/>
        <v>14556</v>
      </c>
      <c r="AA40" s="309">
        <f t="shared" si="24"/>
        <v>47307</v>
      </c>
      <c r="AB40" s="309">
        <f t="shared" si="25"/>
        <v>27614.983968</v>
      </c>
      <c r="AC40" s="309">
        <f t="shared" si="26"/>
        <v>595298.98396800004</v>
      </c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</row>
    <row r="41" spans="1:39" ht="31.5" x14ac:dyDescent="0.25">
      <c r="A41" s="382" t="s">
        <v>812</v>
      </c>
      <c r="B41" s="388">
        <v>0.5</v>
      </c>
      <c r="C41" s="383">
        <f t="shared" si="28"/>
        <v>7080.76512</v>
      </c>
      <c r="D41" s="309">
        <f t="shared" si="15"/>
        <v>3540.38256</v>
      </c>
      <c r="E41" s="388">
        <v>15</v>
      </c>
      <c r="F41" s="309">
        <f t="shared" si="27"/>
        <v>531.05738400000007</v>
      </c>
      <c r="G41" s="311"/>
      <c r="H41" s="309">
        <f t="shared" si="16"/>
        <v>0</v>
      </c>
      <c r="I41" s="311"/>
      <c r="J41" s="309">
        <f t="shared" si="17"/>
        <v>0</v>
      </c>
      <c r="K41" s="311"/>
      <c r="L41" s="309">
        <f t="shared" si="18"/>
        <v>0</v>
      </c>
      <c r="M41" s="311"/>
      <c r="N41" s="309">
        <f t="shared" si="19"/>
        <v>0</v>
      </c>
      <c r="O41" s="309"/>
      <c r="P41" s="309"/>
      <c r="Q41" s="309"/>
      <c r="R41" s="309">
        <f t="shared" si="20"/>
        <v>0</v>
      </c>
      <c r="S41" s="311"/>
      <c r="T41" s="311"/>
      <c r="U41" s="309">
        <f t="shared" si="21"/>
        <v>4071.4399440000002</v>
      </c>
      <c r="V41" s="309">
        <f t="shared" si="29"/>
        <v>1993.5600559999998</v>
      </c>
      <c r="W41" s="308">
        <v>80</v>
      </c>
      <c r="X41" s="309">
        <f t="shared" si="22"/>
        <v>4852</v>
      </c>
      <c r="Y41" s="308">
        <v>80</v>
      </c>
      <c r="Z41" s="309">
        <f t="shared" si="23"/>
        <v>4852</v>
      </c>
      <c r="AA41" s="309">
        <f t="shared" si="24"/>
        <v>15769</v>
      </c>
      <c r="AB41" s="309">
        <f t="shared" si="25"/>
        <v>9204.9946560000008</v>
      </c>
      <c r="AC41" s="309">
        <f t="shared" si="26"/>
        <v>198432.994656</v>
      </c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</row>
    <row r="42" spans="1:39" ht="31.5" x14ac:dyDescent="0.25">
      <c r="A42" s="382" t="s">
        <v>812</v>
      </c>
      <c r="B42" s="388">
        <v>0.5</v>
      </c>
      <c r="C42" s="383">
        <f t="shared" si="28"/>
        <v>7080.76512</v>
      </c>
      <c r="D42" s="309">
        <f t="shared" si="15"/>
        <v>3540.38256</v>
      </c>
      <c r="E42" s="388">
        <v>20</v>
      </c>
      <c r="F42" s="309">
        <f t="shared" si="27"/>
        <v>708.07651199999998</v>
      </c>
      <c r="G42" s="311"/>
      <c r="H42" s="309">
        <f t="shared" si="16"/>
        <v>0</v>
      </c>
      <c r="I42" s="311"/>
      <c r="J42" s="309">
        <f t="shared" si="17"/>
        <v>0</v>
      </c>
      <c r="K42" s="311"/>
      <c r="L42" s="309">
        <f t="shared" si="18"/>
        <v>0</v>
      </c>
      <c r="M42" s="311"/>
      <c r="N42" s="309">
        <f t="shared" si="19"/>
        <v>0</v>
      </c>
      <c r="O42" s="309"/>
      <c r="P42" s="309"/>
      <c r="Q42" s="309"/>
      <c r="R42" s="309">
        <f t="shared" si="20"/>
        <v>0</v>
      </c>
      <c r="S42" s="311"/>
      <c r="T42" s="311"/>
      <c r="U42" s="309">
        <f t="shared" si="21"/>
        <v>4248.4590719999997</v>
      </c>
      <c r="V42" s="309">
        <f t="shared" si="29"/>
        <v>1816.5409280000003</v>
      </c>
      <c r="W42" s="308">
        <v>80</v>
      </c>
      <c r="X42" s="309">
        <f t="shared" si="22"/>
        <v>4852</v>
      </c>
      <c r="Y42" s="308">
        <v>80</v>
      </c>
      <c r="Z42" s="309">
        <f t="shared" si="23"/>
        <v>4852</v>
      </c>
      <c r="AA42" s="309">
        <f t="shared" si="24"/>
        <v>15769</v>
      </c>
      <c r="AB42" s="309">
        <f t="shared" si="25"/>
        <v>9204.9946560000008</v>
      </c>
      <c r="AC42" s="309">
        <f t="shared" si="26"/>
        <v>198432.994656</v>
      </c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</row>
    <row r="43" spans="1:39" ht="31.5" x14ac:dyDescent="0.25">
      <c r="A43" s="382" t="s">
        <v>812</v>
      </c>
      <c r="B43" s="388">
        <v>0.5</v>
      </c>
      <c r="C43" s="383">
        <f t="shared" si="28"/>
        <v>7080.76512</v>
      </c>
      <c r="D43" s="309">
        <f t="shared" si="15"/>
        <v>3540.38256</v>
      </c>
      <c r="E43" s="388">
        <v>15</v>
      </c>
      <c r="F43" s="309">
        <f t="shared" si="27"/>
        <v>531.05738400000007</v>
      </c>
      <c r="G43" s="311"/>
      <c r="H43" s="309">
        <f t="shared" si="16"/>
        <v>0</v>
      </c>
      <c r="I43" s="311"/>
      <c r="J43" s="309">
        <f t="shared" si="17"/>
        <v>0</v>
      </c>
      <c r="K43" s="311"/>
      <c r="L43" s="309">
        <f t="shared" si="18"/>
        <v>0</v>
      </c>
      <c r="M43" s="311"/>
      <c r="N43" s="309">
        <f t="shared" si="19"/>
        <v>0</v>
      </c>
      <c r="O43" s="309"/>
      <c r="P43" s="309"/>
      <c r="Q43" s="309"/>
      <c r="R43" s="309">
        <f t="shared" si="20"/>
        <v>0</v>
      </c>
      <c r="S43" s="311"/>
      <c r="T43" s="311"/>
      <c r="U43" s="309">
        <f t="shared" si="21"/>
        <v>4071.4399440000002</v>
      </c>
      <c r="V43" s="309">
        <f t="shared" si="29"/>
        <v>1993.5600559999998</v>
      </c>
      <c r="W43" s="308">
        <v>80</v>
      </c>
      <c r="X43" s="309">
        <f t="shared" si="22"/>
        <v>4852</v>
      </c>
      <c r="Y43" s="308">
        <v>80</v>
      </c>
      <c r="Z43" s="309">
        <f t="shared" si="23"/>
        <v>4852</v>
      </c>
      <c r="AA43" s="309">
        <f t="shared" si="24"/>
        <v>15769</v>
      </c>
      <c r="AB43" s="309">
        <f t="shared" si="25"/>
        <v>9204.9946560000008</v>
      </c>
      <c r="AC43" s="309">
        <f t="shared" si="26"/>
        <v>198432.994656</v>
      </c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</row>
    <row r="44" spans="1:39" ht="47.25" x14ac:dyDescent="0.25">
      <c r="A44" s="382" t="s">
        <v>813</v>
      </c>
      <c r="B44" s="388">
        <v>0.5</v>
      </c>
      <c r="C44" s="383">
        <f t="shared" si="28"/>
        <v>7080.76512</v>
      </c>
      <c r="D44" s="309">
        <f t="shared" si="15"/>
        <v>3540.38256</v>
      </c>
      <c r="E44" s="388">
        <v>10</v>
      </c>
      <c r="F44" s="309">
        <f t="shared" si="27"/>
        <v>354.03825599999999</v>
      </c>
      <c r="G44" s="311"/>
      <c r="H44" s="309">
        <f t="shared" si="16"/>
        <v>0</v>
      </c>
      <c r="I44" s="311"/>
      <c r="J44" s="309">
        <f t="shared" si="17"/>
        <v>0</v>
      </c>
      <c r="K44" s="311"/>
      <c r="L44" s="309">
        <f t="shared" si="18"/>
        <v>0</v>
      </c>
      <c r="M44" s="311"/>
      <c r="N44" s="309">
        <f t="shared" si="19"/>
        <v>0</v>
      </c>
      <c r="O44" s="309"/>
      <c r="P44" s="309"/>
      <c r="Q44" s="309"/>
      <c r="R44" s="309">
        <f t="shared" si="20"/>
        <v>0</v>
      </c>
      <c r="S44" s="311"/>
      <c r="T44" s="311"/>
      <c r="U44" s="309">
        <f t="shared" si="21"/>
        <v>3894.4208159999998</v>
      </c>
      <c r="V44" s="309">
        <f t="shared" si="29"/>
        <v>2170.5791840000002</v>
      </c>
      <c r="W44" s="308">
        <v>80</v>
      </c>
      <c r="X44" s="309">
        <f t="shared" si="22"/>
        <v>4852</v>
      </c>
      <c r="Y44" s="308">
        <v>80</v>
      </c>
      <c r="Z44" s="309">
        <f t="shared" si="23"/>
        <v>4852</v>
      </c>
      <c r="AA44" s="309">
        <f t="shared" si="24"/>
        <v>15769</v>
      </c>
      <c r="AB44" s="309">
        <f t="shared" si="25"/>
        <v>9204.9946560000008</v>
      </c>
      <c r="AC44" s="309">
        <f t="shared" si="26"/>
        <v>198432.994656</v>
      </c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</row>
    <row r="45" spans="1:39" ht="63" x14ac:dyDescent="0.25">
      <c r="A45" s="382" t="s">
        <v>815</v>
      </c>
      <c r="B45" s="335">
        <v>1</v>
      </c>
      <c r="C45" s="311">
        <v>7605.27</v>
      </c>
      <c r="D45" s="309">
        <f t="shared" si="15"/>
        <v>7605.27</v>
      </c>
      <c r="E45" s="325">
        <v>15</v>
      </c>
      <c r="F45" s="309">
        <f t="shared" si="27"/>
        <v>1140.7905000000001</v>
      </c>
      <c r="G45" s="311"/>
      <c r="H45" s="309"/>
      <c r="I45" s="311"/>
      <c r="J45" s="309">
        <f t="shared" si="17"/>
        <v>0</v>
      </c>
      <c r="K45" s="311"/>
      <c r="L45" s="309">
        <f t="shared" si="18"/>
        <v>0</v>
      </c>
      <c r="M45" s="311"/>
      <c r="N45" s="309">
        <f t="shared" si="19"/>
        <v>0</v>
      </c>
      <c r="O45" s="309"/>
      <c r="P45" s="309"/>
      <c r="Q45" s="309"/>
      <c r="R45" s="309">
        <f t="shared" si="20"/>
        <v>0</v>
      </c>
      <c r="S45" s="311"/>
      <c r="T45" s="311"/>
      <c r="U45" s="309">
        <f>D45+F45+H45+J45+L45+N45+P45+R45+T45</f>
        <v>8746.0604999999996</v>
      </c>
      <c r="V45" s="309">
        <f t="shared" si="29"/>
        <v>3383.9395000000004</v>
      </c>
      <c r="W45" s="308">
        <v>80</v>
      </c>
      <c r="X45" s="309">
        <f>(U45+V45)*W45/100</f>
        <v>9704</v>
      </c>
      <c r="Y45" s="308">
        <v>80</v>
      </c>
      <c r="Z45" s="309">
        <f>(U45+V45)*Y45/100</f>
        <v>9704</v>
      </c>
      <c r="AA45" s="309">
        <f t="shared" si="24"/>
        <v>31538</v>
      </c>
      <c r="AB45" s="309">
        <f>D45*2.6</f>
        <v>19773.702000000001</v>
      </c>
      <c r="AC45" s="309">
        <f>(AA45*12)+AB45</f>
        <v>398229.70199999999</v>
      </c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</row>
    <row r="46" spans="1:39" ht="31.5" x14ac:dyDescent="0.25">
      <c r="A46" s="387" t="s">
        <v>816</v>
      </c>
      <c r="B46" s="335">
        <v>1</v>
      </c>
      <c r="C46" s="311">
        <v>13546</v>
      </c>
      <c r="D46" s="309">
        <f t="shared" si="15"/>
        <v>13546</v>
      </c>
      <c r="E46" s="311">
        <v>30</v>
      </c>
      <c r="F46" s="309">
        <f t="shared" si="27"/>
        <v>4063.8</v>
      </c>
      <c r="G46" s="311"/>
      <c r="H46" s="309"/>
      <c r="I46" s="311"/>
      <c r="J46" s="309">
        <f t="shared" si="17"/>
        <v>0</v>
      </c>
      <c r="K46" s="311"/>
      <c r="L46" s="309">
        <f t="shared" si="18"/>
        <v>0</v>
      </c>
      <c r="M46" s="311"/>
      <c r="N46" s="309">
        <f t="shared" si="19"/>
        <v>0</v>
      </c>
      <c r="O46" s="309"/>
      <c r="P46" s="309"/>
      <c r="Q46" s="309"/>
      <c r="R46" s="309">
        <f t="shared" si="20"/>
        <v>0</v>
      </c>
      <c r="S46" s="311"/>
      <c r="T46" s="311"/>
      <c r="U46" s="309">
        <f t="shared" si="21"/>
        <v>17609.8</v>
      </c>
      <c r="V46" s="309"/>
      <c r="W46" s="308">
        <v>80</v>
      </c>
      <c r="X46" s="309">
        <f>(U46+V46)*W46/100</f>
        <v>14087.84</v>
      </c>
      <c r="Y46" s="308">
        <v>80</v>
      </c>
      <c r="Z46" s="309">
        <f>(U46+V46)*Y46/100</f>
        <v>14087.84</v>
      </c>
      <c r="AA46" s="309">
        <f t="shared" si="24"/>
        <v>45785.479999999996</v>
      </c>
      <c r="AB46" s="309">
        <f>D46*2.6</f>
        <v>35219.599999999999</v>
      </c>
      <c r="AC46" s="309">
        <f>(AA46*12)+AB46</f>
        <v>584645.36</v>
      </c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</row>
    <row r="47" spans="1:39" ht="15.75" x14ac:dyDescent="0.25">
      <c r="A47" s="382"/>
      <c r="B47" s="335"/>
      <c r="C47" s="311"/>
      <c r="D47" s="309"/>
      <c r="E47" s="311"/>
      <c r="F47" s="309"/>
      <c r="G47" s="311"/>
      <c r="H47" s="309"/>
      <c r="I47" s="311"/>
      <c r="J47" s="309">
        <f t="shared" si="17"/>
        <v>0</v>
      </c>
      <c r="K47" s="311"/>
      <c r="L47" s="309">
        <f t="shared" si="18"/>
        <v>0</v>
      </c>
      <c r="M47" s="311"/>
      <c r="N47" s="309">
        <f t="shared" si="19"/>
        <v>0</v>
      </c>
      <c r="O47" s="309"/>
      <c r="P47" s="309"/>
      <c r="Q47" s="309"/>
      <c r="R47" s="309">
        <f t="shared" si="20"/>
        <v>0</v>
      </c>
      <c r="S47" s="311"/>
      <c r="T47" s="311"/>
      <c r="U47" s="309">
        <f t="shared" si="21"/>
        <v>0</v>
      </c>
      <c r="V47" s="309">
        <f>(12130*B47)-U47</f>
        <v>0</v>
      </c>
      <c r="W47" s="308">
        <v>80</v>
      </c>
      <c r="X47" s="309">
        <f>(U47+V47)*W47/100</f>
        <v>0</v>
      </c>
      <c r="Y47" s="308">
        <v>80</v>
      </c>
      <c r="Z47" s="309">
        <f>(U47+V47)*Y47/100</f>
        <v>0</v>
      </c>
      <c r="AA47" s="309">
        <f t="shared" si="24"/>
        <v>0</v>
      </c>
      <c r="AB47" s="309">
        <f>D47*2.6</f>
        <v>0</v>
      </c>
      <c r="AC47" s="309">
        <f>(AA47*12)+AB47</f>
        <v>0</v>
      </c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</row>
    <row r="48" spans="1:39" ht="29.25" x14ac:dyDescent="0.25">
      <c r="A48" s="323" t="s">
        <v>680</v>
      </c>
      <c r="B48" s="323">
        <f>SUM(B29:B47)</f>
        <v>15</v>
      </c>
      <c r="C48" s="323">
        <f>SUM(C29:C47)</f>
        <v>152881.23143999994</v>
      </c>
      <c r="D48" s="323">
        <f>SUM(D29:D47)</f>
        <v>128370.56119999997</v>
      </c>
      <c r="E48" s="323"/>
      <c r="F48" s="323">
        <f t="shared" ref="F48:V48" si="30">SUM(F29:F47)</f>
        <v>26588.304599999996</v>
      </c>
      <c r="G48" s="323">
        <f t="shared" si="30"/>
        <v>0</v>
      </c>
      <c r="H48" s="323">
        <f t="shared" si="30"/>
        <v>0</v>
      </c>
      <c r="I48" s="323">
        <f t="shared" si="30"/>
        <v>8</v>
      </c>
      <c r="J48" s="323">
        <f t="shared" si="30"/>
        <v>490.21340479999998</v>
      </c>
      <c r="K48" s="323">
        <f t="shared" si="30"/>
        <v>0</v>
      </c>
      <c r="L48" s="323">
        <f t="shared" si="30"/>
        <v>0</v>
      </c>
      <c r="M48" s="323">
        <f t="shared" si="30"/>
        <v>0</v>
      </c>
      <c r="N48" s="323">
        <f t="shared" si="30"/>
        <v>0</v>
      </c>
      <c r="O48" s="323">
        <f t="shared" si="30"/>
        <v>0</v>
      </c>
      <c r="P48" s="323">
        <f t="shared" si="30"/>
        <v>0</v>
      </c>
      <c r="Q48" s="323">
        <f t="shared" si="30"/>
        <v>0</v>
      </c>
      <c r="R48" s="323">
        <f t="shared" si="30"/>
        <v>0</v>
      </c>
      <c r="S48" s="323">
        <f t="shared" si="30"/>
        <v>0</v>
      </c>
      <c r="T48" s="323">
        <f t="shared" si="30"/>
        <v>0</v>
      </c>
      <c r="U48" s="323">
        <f t="shared" si="30"/>
        <v>155449.07920479996</v>
      </c>
      <c r="V48" s="323">
        <f t="shared" si="30"/>
        <v>40430.867595199998</v>
      </c>
      <c r="W48" s="323"/>
      <c r="X48" s="323">
        <f>SUM(X29:X47)</f>
        <v>156703.95744</v>
      </c>
      <c r="Y48" s="323"/>
      <c r="Z48" s="323">
        <f>SUM(Z29:Z47)</f>
        <v>156703.95744</v>
      </c>
      <c r="AA48" s="323">
        <f>SUM(AA29:AA47)</f>
        <v>509287.86167999997</v>
      </c>
      <c r="AB48" s="323">
        <f>SUM(AB29:AB47)</f>
        <v>333763.4591199999</v>
      </c>
      <c r="AC48" s="276">
        <f>SUM(AC29:AC47)</f>
        <v>6445217.7992800018</v>
      </c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</row>
    <row r="49" spans="1:39" ht="22.5" customHeight="1" x14ac:dyDescent="0.25">
      <c r="A49" s="324" t="s">
        <v>681</v>
      </c>
      <c r="B49" s="312">
        <f>B27+B10+B48</f>
        <v>35.61</v>
      </c>
      <c r="C49" s="312">
        <f>C27+C10+C48</f>
        <v>277994.17143999995</v>
      </c>
      <c r="D49" s="312">
        <f>D27+D10+D48</f>
        <v>419016.66319999995</v>
      </c>
      <c r="E49" s="312"/>
      <c r="F49" s="312">
        <f>F27+F10+F48</f>
        <v>114199.66460000002</v>
      </c>
      <c r="G49" s="312"/>
      <c r="H49" s="312">
        <f>H27+H10+H48</f>
        <v>0</v>
      </c>
      <c r="I49" s="312"/>
      <c r="J49" s="312">
        <f>J27+J10+J48</f>
        <v>490.21340479999998</v>
      </c>
      <c r="K49" s="312"/>
      <c r="L49" s="312">
        <f>L27+L10+L48</f>
        <v>0</v>
      </c>
      <c r="M49" s="312"/>
      <c r="N49" s="312">
        <f>N27+N10+N48</f>
        <v>59996.015500000016</v>
      </c>
      <c r="O49" s="312"/>
      <c r="P49" s="312">
        <f>P27+P10+P48</f>
        <v>6750</v>
      </c>
      <c r="Q49" s="312"/>
      <c r="R49" s="312">
        <f>R27+R10+R48</f>
        <v>5830588.5899999999</v>
      </c>
      <c r="S49" s="312"/>
      <c r="T49" s="312">
        <f>T27+T10+T48</f>
        <v>0</v>
      </c>
      <c r="U49" s="312">
        <f>U27+U10+U48</f>
        <v>155449.07920479996</v>
      </c>
      <c r="V49" s="312">
        <f>V27+V10+V48</f>
        <v>40430.867595199998</v>
      </c>
      <c r="W49" s="312"/>
      <c r="X49" s="312">
        <f>X27+X10+X48</f>
        <v>512706.73944000003</v>
      </c>
      <c r="Y49" s="312"/>
      <c r="Z49" s="312">
        <f>Z27+Z10+Z48</f>
        <v>512706.73944000003</v>
      </c>
      <c r="AA49" s="312">
        <f>AA27+AA10+AA48</f>
        <v>1666296.9031800004</v>
      </c>
      <c r="AB49" s="312">
        <f>AB27+AB10+AB48</f>
        <v>1089443.3243200001</v>
      </c>
      <c r="AC49" s="312">
        <f>AC27+AC10+AC48</f>
        <v>26993957.871280003</v>
      </c>
      <c r="AE49" s="360"/>
      <c r="AF49" s="360"/>
      <c r="AG49" s="360"/>
      <c r="AH49" s="360"/>
      <c r="AI49" s="360"/>
      <c r="AJ49" s="360"/>
      <c r="AK49" s="360"/>
      <c r="AL49" s="360"/>
      <c r="AM49" s="360"/>
    </row>
    <row r="50" spans="1:39" s="395" customFormat="1" ht="31.5" x14ac:dyDescent="0.25">
      <c r="A50" s="389" t="s">
        <v>809</v>
      </c>
      <c r="B50" s="390">
        <v>0.75</v>
      </c>
      <c r="C50" s="391">
        <f t="shared" si="28"/>
        <v>7080.76512</v>
      </c>
      <c r="D50" s="392">
        <f>C50*B50</f>
        <v>5310.57384</v>
      </c>
      <c r="E50" s="390">
        <v>20</v>
      </c>
      <c r="F50" s="392">
        <f>D50*E50/100</f>
        <v>1062.1147680000001</v>
      </c>
      <c r="G50" s="392"/>
      <c r="H50" s="392">
        <f>D50*G50</f>
        <v>0</v>
      </c>
      <c r="I50" s="392">
        <v>4</v>
      </c>
      <c r="J50" s="392">
        <f>D50*I50/100</f>
        <v>212.4229536</v>
      </c>
      <c r="K50" s="392"/>
      <c r="L50" s="392">
        <f>D50*K50</f>
        <v>0</v>
      </c>
      <c r="M50" s="392"/>
      <c r="N50" s="392">
        <f>D50*M50</f>
        <v>0</v>
      </c>
      <c r="O50" s="392"/>
      <c r="P50" s="392"/>
      <c r="Q50" s="392"/>
      <c r="R50" s="392">
        <f>D50*Q50</f>
        <v>0</v>
      </c>
      <c r="S50" s="392"/>
      <c r="T50" s="392"/>
      <c r="U50" s="392">
        <f>D50+F50+H50+J50+L50+N50+P50+R50+T50</f>
        <v>6585.1115616000006</v>
      </c>
      <c r="V50" s="392">
        <f>(12130*B50)-U50</f>
        <v>2512.3884383999994</v>
      </c>
      <c r="W50" s="393">
        <v>80</v>
      </c>
      <c r="X50" s="392">
        <f>(U50+V50)*W50/100</f>
        <v>7278</v>
      </c>
      <c r="Y50" s="393">
        <v>80</v>
      </c>
      <c r="Z50" s="392">
        <f>(U50+V50)*Y50/100</f>
        <v>7278</v>
      </c>
      <c r="AA50" s="392">
        <f>D50+F50+H50+J50+X50+Z50+L50+N50+T50+P50+R50+V50</f>
        <v>23653.5</v>
      </c>
      <c r="AB50" s="392">
        <f>D50*2.6</f>
        <v>13807.491984</v>
      </c>
      <c r="AC50" s="392">
        <f>(AA50*12)+AB50</f>
        <v>297649.49198400002</v>
      </c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</row>
    <row r="51" spans="1:39" s="395" customFormat="1" ht="31.5" x14ac:dyDescent="0.25">
      <c r="A51" s="389" t="s">
        <v>814</v>
      </c>
      <c r="B51" s="393">
        <v>1</v>
      </c>
      <c r="C51" s="392">
        <v>7605.27</v>
      </c>
      <c r="D51" s="392">
        <f>C51*B51</f>
        <v>7605.27</v>
      </c>
      <c r="E51" s="396">
        <v>30</v>
      </c>
      <c r="F51" s="392">
        <f>D51*E51/100</f>
        <v>2281.5810000000001</v>
      </c>
      <c r="G51" s="392"/>
      <c r="H51" s="392"/>
      <c r="I51" s="392">
        <v>8</v>
      </c>
      <c r="J51" s="392">
        <f>D51*I51/100</f>
        <v>608.42160000000001</v>
      </c>
      <c r="K51" s="392"/>
      <c r="L51" s="392">
        <f>D51*K51</f>
        <v>0</v>
      </c>
      <c r="M51" s="392"/>
      <c r="N51" s="392">
        <f>D51*M51</f>
        <v>0</v>
      </c>
      <c r="O51" s="392"/>
      <c r="P51" s="392"/>
      <c r="Q51" s="392"/>
      <c r="R51" s="392">
        <f>D51*Q51</f>
        <v>0</v>
      </c>
      <c r="S51" s="392"/>
      <c r="T51" s="392"/>
      <c r="U51" s="392">
        <f>D51+F51+H51+J51+L51+N51+P51+R51+T51</f>
        <v>10495.2726</v>
      </c>
      <c r="V51" s="392">
        <f>(12130*B51)-U51</f>
        <v>1634.7273999999998</v>
      </c>
      <c r="W51" s="393">
        <v>80</v>
      </c>
      <c r="X51" s="392">
        <f>(U51+V51)*W51/100</f>
        <v>9704</v>
      </c>
      <c r="Y51" s="393">
        <v>80</v>
      </c>
      <c r="Z51" s="392">
        <f>(U51+V51)*Y51/100</f>
        <v>9704</v>
      </c>
      <c r="AA51" s="392">
        <f>D51+F51+H51+J51+X51+Z51+L51+N51+T51+P51+R51+V51</f>
        <v>31538</v>
      </c>
      <c r="AB51" s="392">
        <f>D51*2.6</f>
        <v>19773.702000000001</v>
      </c>
      <c r="AC51" s="392">
        <f>(AA51*12)+AB51</f>
        <v>398229.70199999999</v>
      </c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</row>
    <row r="52" spans="1:39" s="395" customFormat="1" ht="31.5" x14ac:dyDescent="0.25">
      <c r="A52" s="397" t="s">
        <v>817</v>
      </c>
      <c r="B52" s="393">
        <v>0.75</v>
      </c>
      <c r="C52" s="392">
        <v>13546</v>
      </c>
      <c r="D52" s="392">
        <f>C52*B52</f>
        <v>10159.5</v>
      </c>
      <c r="E52" s="392">
        <v>30</v>
      </c>
      <c r="F52" s="392">
        <f>D52*E52/100</f>
        <v>3047.85</v>
      </c>
      <c r="G52" s="392"/>
      <c r="H52" s="392"/>
      <c r="I52" s="392"/>
      <c r="J52" s="392">
        <f>D52*I52/100</f>
        <v>0</v>
      </c>
      <c r="K52" s="392"/>
      <c r="L52" s="392">
        <f>D52*K52</f>
        <v>0</v>
      </c>
      <c r="M52" s="392"/>
      <c r="N52" s="392">
        <f>D52*M52</f>
        <v>0</v>
      </c>
      <c r="O52" s="392"/>
      <c r="P52" s="392"/>
      <c r="Q52" s="392"/>
      <c r="R52" s="392">
        <f>D52*Q52</f>
        <v>0</v>
      </c>
      <c r="S52" s="392"/>
      <c r="T52" s="392"/>
      <c r="U52" s="392">
        <f>D52+F52+H52+J52+L52+N52+P52+R52+T52</f>
        <v>13207.35</v>
      </c>
      <c r="V52" s="392"/>
      <c r="W52" s="393">
        <v>80</v>
      </c>
      <c r="X52" s="392">
        <f>(U52+V52)*W52/100</f>
        <v>10565.88</v>
      </c>
      <c r="Y52" s="393">
        <v>80</v>
      </c>
      <c r="Z52" s="392">
        <f>(U52+V52)*Y52/100</f>
        <v>10565.88</v>
      </c>
      <c r="AA52" s="392">
        <f>D52+F52+H52+J52+X52+Z52+L52+N52+T52+P52+R52+V52</f>
        <v>34339.11</v>
      </c>
      <c r="AB52" s="392">
        <f>D52*2.6</f>
        <v>26414.7</v>
      </c>
      <c r="AC52" s="392">
        <f>(AA52*12)+AB52</f>
        <v>438484.02</v>
      </c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</row>
    <row r="53" spans="1:39" s="278" customFormat="1" ht="43.5" x14ac:dyDescent="0.25">
      <c r="A53" s="276" t="s">
        <v>682</v>
      </c>
      <c r="B53" s="276">
        <f>SUM(B50:B52)</f>
        <v>2.5</v>
      </c>
      <c r="C53" s="276">
        <f t="shared" ref="C53:AC53" si="31">SUM(C50:C52)</f>
        <v>28232.03512</v>
      </c>
      <c r="D53" s="276">
        <f t="shared" si="31"/>
        <v>23075.343840000001</v>
      </c>
      <c r="E53" s="276"/>
      <c r="F53" s="276">
        <f t="shared" si="31"/>
        <v>6391.545768</v>
      </c>
      <c r="G53" s="276"/>
      <c r="H53" s="276">
        <f t="shared" si="31"/>
        <v>0</v>
      </c>
      <c r="I53" s="276">
        <f t="shared" si="31"/>
        <v>12</v>
      </c>
      <c r="J53" s="276">
        <f t="shared" si="31"/>
        <v>820.84455360000004</v>
      </c>
      <c r="K53" s="276"/>
      <c r="L53" s="276">
        <f t="shared" si="31"/>
        <v>0</v>
      </c>
      <c r="M53" s="276"/>
      <c r="N53" s="276">
        <f t="shared" si="31"/>
        <v>0</v>
      </c>
      <c r="O53" s="276"/>
      <c r="P53" s="276">
        <f t="shared" si="31"/>
        <v>0</v>
      </c>
      <c r="Q53" s="276"/>
      <c r="R53" s="276">
        <f t="shared" si="31"/>
        <v>0</v>
      </c>
      <c r="S53" s="276"/>
      <c r="T53" s="276">
        <f t="shared" si="31"/>
        <v>0</v>
      </c>
      <c r="U53" s="276">
        <f t="shared" si="31"/>
        <v>30287.734161599998</v>
      </c>
      <c r="V53" s="276">
        <f t="shared" si="31"/>
        <v>4147.1158383999991</v>
      </c>
      <c r="W53" s="276"/>
      <c r="X53" s="276">
        <f t="shared" si="31"/>
        <v>27547.879999999997</v>
      </c>
      <c r="Y53" s="276"/>
      <c r="Z53" s="276">
        <f t="shared" si="31"/>
        <v>27547.879999999997</v>
      </c>
      <c r="AA53" s="276">
        <f t="shared" si="31"/>
        <v>89530.61</v>
      </c>
      <c r="AB53" s="276">
        <f t="shared" si="31"/>
        <v>59995.893983999995</v>
      </c>
      <c r="AC53" s="276">
        <f t="shared" si="31"/>
        <v>1134363.213984</v>
      </c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</row>
    <row r="54" spans="1:39" x14ac:dyDescent="0.25">
      <c r="A54" s="360"/>
      <c r="B54" s="360"/>
      <c r="C54" s="313"/>
      <c r="D54" s="313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102"/>
      <c r="Y54" s="360"/>
      <c r="Z54" s="360"/>
      <c r="AA54" s="360"/>
      <c r="AB54" s="359"/>
      <c r="AC54" s="360"/>
      <c r="AD54" s="360"/>
      <c r="AF54" s="360"/>
      <c r="AG54" s="360"/>
      <c r="AH54" s="360"/>
      <c r="AI54" s="360"/>
      <c r="AJ54" s="360"/>
      <c r="AK54" s="360"/>
      <c r="AL54" s="360"/>
      <c r="AM54" s="360"/>
    </row>
    <row r="55" spans="1:39" ht="71.25" customHeight="1" x14ac:dyDescent="0.25">
      <c r="A55" s="578"/>
      <c r="B55" s="579"/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8"/>
      <c r="AB55" s="359"/>
      <c r="AC55" s="337"/>
    </row>
    <row r="56" spans="1:39" ht="74.25" customHeight="1" x14ac:dyDescent="0.25">
      <c r="A56" s="58"/>
      <c r="B56" s="58"/>
      <c r="C56" s="58"/>
      <c r="D56" s="281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0"/>
      <c r="AC56" s="337"/>
    </row>
    <row r="57" spans="1:39" x14ac:dyDescent="0.25">
      <c r="A57" s="58"/>
      <c r="B57" s="58"/>
      <c r="C57" s="281"/>
      <c r="D57" s="281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0"/>
      <c r="AC57" s="333"/>
    </row>
    <row r="58" spans="1:39" x14ac:dyDescent="0.25">
      <c r="A58" s="58"/>
      <c r="B58" s="58"/>
      <c r="C58" s="58"/>
      <c r="D58" s="281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 spans="1:39" x14ac:dyDescent="0.25">
      <c r="A59" s="58"/>
      <c r="B59" s="58"/>
      <c r="C59" s="58"/>
      <c r="D59" s="281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39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 spans="1:39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 spans="1:39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 spans="1:39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1:39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29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spans="1:29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1:29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 spans="1:29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1:29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 spans="1:29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 spans="1:29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spans="1:29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 spans="1:29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 spans="1:29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 spans="1:29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 spans="1:29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1:29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 spans="1:29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 spans="1:29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 spans="1:29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 spans="1:29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 spans="1:29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 spans="1:29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 spans="1:29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 spans="1:29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 spans="1:29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 spans="1:29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 spans="1:29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 spans="1:29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 spans="1:29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x14ac:dyDescent="0.25">
      <c r="A95" s="314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</row>
    <row r="96" spans="1:29" x14ac:dyDescent="0.25">
      <c r="A96" s="314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</row>
    <row r="97" spans="1:29" x14ac:dyDescent="0.25">
      <c r="A97" s="314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</row>
    <row r="98" spans="1:29" x14ac:dyDescent="0.25">
      <c r="A98" s="314"/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</row>
    <row r="99" spans="1:29" x14ac:dyDescent="0.25">
      <c r="A99" s="314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</row>
    <row r="100" spans="1:29" x14ac:dyDescent="0.25">
      <c r="A100" s="314"/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</row>
    <row r="101" spans="1:29" x14ac:dyDescent="0.25">
      <c r="A101" s="314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</row>
    <row r="102" spans="1:29" x14ac:dyDescent="0.25">
      <c r="A102" s="314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</row>
    <row r="103" spans="1:29" x14ac:dyDescent="0.25">
      <c r="A103" s="314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</row>
    <row r="104" spans="1:29" x14ac:dyDescent="0.25">
      <c r="A104" s="314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</row>
    <row r="105" spans="1:29" x14ac:dyDescent="0.25">
      <c r="A105" s="314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</row>
    <row r="106" spans="1:29" x14ac:dyDescent="0.25">
      <c r="A106" s="314"/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</row>
    <row r="107" spans="1:29" x14ac:dyDescent="0.25">
      <c r="A107" s="314"/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</row>
    <row r="108" spans="1:29" x14ac:dyDescent="0.25">
      <c r="A108" s="314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</row>
    <row r="109" spans="1:29" x14ac:dyDescent="0.25">
      <c r="A109" s="314"/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</row>
    <row r="110" spans="1:29" x14ac:dyDescent="0.25">
      <c r="A110" s="314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</row>
    <row r="111" spans="1:29" x14ac:dyDescent="0.25">
      <c r="A111" s="314"/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</row>
    <row r="112" spans="1:29" x14ac:dyDescent="0.25">
      <c r="A112" s="314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</row>
    <row r="113" spans="1:29" x14ac:dyDescent="0.25">
      <c r="A113" s="314"/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</row>
    <row r="114" spans="1:29" x14ac:dyDescent="0.25">
      <c r="A114" s="314"/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</row>
    <row r="115" spans="1:29" x14ac:dyDescent="0.25">
      <c r="A115" s="314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</row>
  </sheetData>
  <mergeCells count="24">
    <mergeCell ref="A55:Z55"/>
    <mergeCell ref="AB56:AB57"/>
    <mergeCell ref="A2:AC2"/>
    <mergeCell ref="A3:AC3"/>
    <mergeCell ref="A5:A6"/>
    <mergeCell ref="B5:B6"/>
    <mergeCell ref="C5:C6"/>
    <mergeCell ref="D5:D6"/>
    <mergeCell ref="E5:F5"/>
    <mergeCell ref="G5:H5"/>
    <mergeCell ref="I5:J5"/>
    <mergeCell ref="K5:L5"/>
    <mergeCell ref="M5:N5"/>
    <mergeCell ref="O5:P5"/>
    <mergeCell ref="Q5:R5"/>
    <mergeCell ref="S5:T5"/>
    <mergeCell ref="W5:X5"/>
    <mergeCell ref="Y5:Z5"/>
    <mergeCell ref="A28:AC28"/>
    <mergeCell ref="AA5:AA6"/>
    <mergeCell ref="AB5:AB6"/>
    <mergeCell ref="AC5:AC6"/>
    <mergeCell ref="A7:AC7"/>
    <mergeCell ref="A11:AC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0"/>
  <sheetViews>
    <sheetView view="pageBreakPreview" zoomScaleSheetLayoutView="100" workbookViewId="0">
      <selection activeCell="B12" sqref="B12"/>
    </sheetView>
  </sheetViews>
  <sheetFormatPr defaultColWidth="9.140625" defaultRowHeight="15" x14ac:dyDescent="0.25"/>
  <cols>
    <col min="1" max="1" width="19.85546875" style="34" customWidth="1"/>
    <col min="2" max="2" width="33.140625" style="34" customWidth="1"/>
    <col min="3" max="3" width="25.85546875" style="34" customWidth="1"/>
    <col min="4" max="4" width="23.5703125" style="34" customWidth="1"/>
    <col min="5" max="5" width="15.140625" style="34" customWidth="1"/>
    <col min="6" max="16384" width="9.140625" style="34"/>
  </cols>
  <sheetData>
    <row r="1" spans="1:11" ht="59.25" customHeight="1" x14ac:dyDescent="0.25">
      <c r="A1" s="585" t="s">
        <v>117</v>
      </c>
      <c r="B1" s="585"/>
      <c r="C1" s="585"/>
      <c r="D1" s="585"/>
    </row>
    <row r="2" spans="1:11" x14ac:dyDescent="0.25">
      <c r="A2" s="586" t="s">
        <v>19</v>
      </c>
      <c r="B2" s="587"/>
      <c r="C2" s="587"/>
    </row>
    <row r="3" spans="1:11" ht="45" x14ac:dyDescent="0.25">
      <c r="A3" s="35" t="s">
        <v>115</v>
      </c>
      <c r="B3" s="43" t="s">
        <v>116</v>
      </c>
      <c r="C3" s="35" t="s">
        <v>114</v>
      </c>
      <c r="D3" s="43"/>
      <c r="E3" s="43"/>
      <c r="F3" s="43"/>
      <c r="G3" s="43"/>
      <c r="H3" s="43"/>
      <c r="I3" s="43"/>
      <c r="J3" s="43"/>
    </row>
    <row r="4" spans="1:11" ht="18" customHeight="1" x14ac:dyDescent="0.25">
      <c r="A4" s="363" t="s">
        <v>193</v>
      </c>
      <c r="B4" s="363" t="s">
        <v>818</v>
      </c>
      <c r="C4" s="398">
        <v>18000</v>
      </c>
      <c r="D4" s="42"/>
      <c r="E4" s="42"/>
      <c r="F4" s="42"/>
      <c r="G4" s="42"/>
      <c r="H4" s="42"/>
      <c r="I4" s="42"/>
      <c r="J4" s="42"/>
      <c r="K4" s="42"/>
    </row>
    <row r="5" spans="1:11" ht="30" x14ac:dyDescent="0.25">
      <c r="A5" s="363" t="s">
        <v>819</v>
      </c>
      <c r="B5" s="363" t="s">
        <v>818</v>
      </c>
      <c r="C5" s="398">
        <v>18000</v>
      </c>
      <c r="D5" s="42"/>
      <c r="E5" s="42"/>
      <c r="F5" s="42"/>
      <c r="G5" s="42"/>
      <c r="H5" s="42"/>
      <c r="I5" s="42"/>
      <c r="J5" s="42"/>
      <c r="K5" s="42"/>
    </row>
    <row r="6" spans="1:11" ht="30" x14ac:dyDescent="0.25">
      <c r="A6" s="363" t="s">
        <v>819</v>
      </c>
      <c r="B6" s="363" t="s">
        <v>818</v>
      </c>
      <c r="C6" s="398">
        <v>18000</v>
      </c>
      <c r="D6" s="42"/>
      <c r="E6" s="42"/>
      <c r="F6" s="42"/>
      <c r="G6" s="42"/>
      <c r="H6" s="42"/>
      <c r="I6" s="42"/>
      <c r="J6" s="42"/>
      <c r="K6" s="42"/>
    </row>
    <row r="7" spans="1:11" x14ac:dyDescent="0.25">
      <c r="A7" s="35" t="s">
        <v>4</v>
      </c>
      <c r="B7" s="35"/>
      <c r="C7" s="340">
        <f>C4+C5+C6</f>
        <v>54000</v>
      </c>
      <c r="D7" s="42"/>
      <c r="E7" s="42"/>
      <c r="F7" s="42"/>
      <c r="G7" s="42"/>
      <c r="H7" s="42"/>
      <c r="I7" s="42"/>
      <c r="J7" s="42"/>
      <c r="K7" s="42"/>
    </row>
    <row r="8" spans="1:11" ht="4.5" customHeight="1" x14ac:dyDescent="0.25">
      <c r="A8" s="43"/>
      <c r="B8" s="43"/>
      <c r="C8" s="43"/>
      <c r="D8" s="42"/>
      <c r="E8" s="42"/>
      <c r="F8" s="42"/>
      <c r="G8" s="42"/>
      <c r="H8" s="42"/>
      <c r="I8" s="42"/>
      <c r="J8" s="42"/>
      <c r="K8" s="42"/>
    </row>
    <row r="9" spans="1:11" ht="16.5" customHeight="1" x14ac:dyDescent="0.25">
      <c r="A9" s="43"/>
      <c r="B9" s="43"/>
      <c r="C9" s="43"/>
      <c r="D9" s="42"/>
      <c r="E9" s="42"/>
      <c r="F9" s="42"/>
      <c r="G9" s="42"/>
      <c r="H9" s="42"/>
      <c r="I9" s="42"/>
      <c r="J9" s="42"/>
      <c r="K9" s="42"/>
    </row>
    <row r="10" spans="1:11" x14ac:dyDescent="0.25">
      <c r="C10" s="44"/>
    </row>
  </sheetData>
  <mergeCells count="2">
    <mergeCell ref="A1:D1"/>
    <mergeCell ref="A2:C2"/>
  </mergeCell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13"/>
  <sheetViews>
    <sheetView view="pageBreakPreview" zoomScaleSheetLayoutView="100" workbookViewId="0">
      <selection activeCell="P5" sqref="P5"/>
    </sheetView>
  </sheetViews>
  <sheetFormatPr defaultColWidth="8.85546875" defaultRowHeight="15" x14ac:dyDescent="0.25"/>
  <cols>
    <col min="1" max="1" width="33.42578125" style="34" customWidth="1"/>
    <col min="2" max="2" width="8.85546875" style="34"/>
    <col min="3" max="3" width="14.140625" style="34" customWidth="1"/>
    <col min="4" max="4" width="15" style="34" customWidth="1"/>
    <col min="5" max="5" width="8.85546875" style="34"/>
    <col min="6" max="6" width="9.42578125" style="34" bestFit="1" customWidth="1"/>
    <col min="7" max="7" width="15.85546875" style="34" customWidth="1"/>
    <col min="8" max="8" width="11" style="34" bestFit="1" customWidth="1"/>
    <col min="9" max="9" width="8.85546875" style="34"/>
    <col min="10" max="10" width="15.85546875" style="34" customWidth="1"/>
    <col min="11" max="11" width="15" style="34" customWidth="1"/>
    <col min="12" max="12" width="16.42578125" style="34" customWidth="1"/>
    <col min="13" max="13" width="9" style="34" bestFit="1" customWidth="1"/>
    <col min="14" max="14" width="14.7109375" style="34" customWidth="1"/>
    <col min="15" max="15" width="16.85546875" style="34" customWidth="1"/>
    <col min="16" max="16" width="15.140625" style="34" customWidth="1"/>
    <col min="17" max="16384" width="8.85546875" style="34"/>
  </cols>
  <sheetData>
    <row r="1" spans="1:16" ht="16.5" x14ac:dyDescent="0.25">
      <c r="B1" s="588" t="s">
        <v>99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</row>
    <row r="2" spans="1:16" x14ac:dyDescent="0.25">
      <c r="B2" s="587"/>
      <c r="C2" s="587"/>
      <c r="D2" s="587"/>
      <c r="E2" s="587"/>
      <c r="F2" s="587"/>
    </row>
    <row r="3" spans="1:16" ht="30" x14ac:dyDescent="0.25">
      <c r="A3" s="589"/>
      <c r="B3" s="590" t="s">
        <v>100</v>
      </c>
      <c r="C3" s="590"/>
      <c r="D3" s="590"/>
      <c r="E3" s="591" t="s">
        <v>101</v>
      </c>
      <c r="F3" s="591"/>
      <c r="G3" s="591"/>
      <c r="H3" s="591" t="s">
        <v>102</v>
      </c>
      <c r="I3" s="591"/>
      <c r="J3" s="591"/>
      <c r="K3" s="35" t="s">
        <v>103</v>
      </c>
      <c r="L3" s="36" t="s">
        <v>104</v>
      </c>
      <c r="M3" s="591" t="s">
        <v>105</v>
      </c>
      <c r="N3" s="591"/>
      <c r="O3" s="591"/>
      <c r="P3" s="590" t="s">
        <v>106</v>
      </c>
    </row>
    <row r="4" spans="1:16" x14ac:dyDescent="0.25">
      <c r="A4" s="589"/>
      <c r="B4" s="37" t="s">
        <v>107</v>
      </c>
      <c r="C4" s="37" t="s">
        <v>1</v>
      </c>
      <c r="D4" s="37" t="s">
        <v>96</v>
      </c>
      <c r="E4" s="37" t="s">
        <v>107</v>
      </c>
      <c r="F4" s="37" t="s">
        <v>1</v>
      </c>
      <c r="G4" s="37" t="s">
        <v>96</v>
      </c>
      <c r="H4" s="37" t="s">
        <v>107</v>
      </c>
      <c r="I4" s="37" t="s">
        <v>1</v>
      </c>
      <c r="J4" s="37" t="s">
        <v>96</v>
      </c>
      <c r="K4" s="37" t="s">
        <v>36</v>
      </c>
      <c r="L4" s="37" t="s">
        <v>96</v>
      </c>
      <c r="M4" s="37" t="s">
        <v>107</v>
      </c>
      <c r="N4" s="37" t="s">
        <v>1</v>
      </c>
      <c r="O4" s="37" t="s">
        <v>96</v>
      </c>
      <c r="P4" s="590"/>
    </row>
    <row r="5" spans="1:16" x14ac:dyDescent="0.25">
      <c r="A5" s="364" t="s">
        <v>733</v>
      </c>
      <c r="B5" s="364">
        <v>1</v>
      </c>
      <c r="C5" s="39">
        <v>6000</v>
      </c>
      <c r="D5" s="39">
        <f>B5*C5*12</f>
        <v>72000</v>
      </c>
      <c r="E5" s="364">
        <v>94</v>
      </c>
      <c r="F5" s="40">
        <v>3.03</v>
      </c>
      <c r="G5" s="38">
        <f>E5*F5</f>
        <v>284.82</v>
      </c>
      <c r="H5" s="41">
        <v>125</v>
      </c>
      <c r="I5" s="39">
        <v>1.77</v>
      </c>
      <c r="J5" s="38">
        <f>H5</f>
        <v>125</v>
      </c>
      <c r="K5" s="38">
        <v>16000</v>
      </c>
      <c r="L5" s="38">
        <v>4000</v>
      </c>
      <c r="M5" s="38">
        <v>12</v>
      </c>
      <c r="N5" s="38">
        <v>12000</v>
      </c>
      <c r="O5" s="38">
        <f>M5*N5</f>
        <v>144000</v>
      </c>
      <c r="P5" s="38">
        <f>(D5+G5+J5+O5+K5+L5)</f>
        <v>236409.82</v>
      </c>
    </row>
    <row r="6" spans="1:16" x14ac:dyDescent="0.25">
      <c r="A6" s="364" t="s">
        <v>3</v>
      </c>
      <c r="B6" s="364">
        <v>1</v>
      </c>
      <c r="C6" s="39">
        <v>6000</v>
      </c>
      <c r="D6" s="39">
        <f t="shared" ref="D6:D7" si="0">B6*C6*12</f>
        <v>72000</v>
      </c>
      <c r="E6" s="364">
        <v>94</v>
      </c>
      <c r="F6" s="40">
        <v>3.03</v>
      </c>
      <c r="G6" s="38">
        <f t="shared" ref="G6:G7" si="1">E6*F6</f>
        <v>284.82</v>
      </c>
      <c r="H6" s="41">
        <v>125</v>
      </c>
      <c r="I6" s="39">
        <v>1.77</v>
      </c>
      <c r="J6" s="38">
        <f t="shared" ref="J6:J7" si="2">H6</f>
        <v>125</v>
      </c>
      <c r="K6" s="38">
        <v>16000</v>
      </c>
      <c r="L6" s="38">
        <v>4000</v>
      </c>
      <c r="M6" s="38">
        <v>12</v>
      </c>
      <c r="N6" s="38">
        <v>12000</v>
      </c>
      <c r="O6" s="38">
        <f t="shared" ref="O6:O7" si="3">M6*N6</f>
        <v>144000</v>
      </c>
      <c r="P6" s="38">
        <f>(D6+G6+J6+O6+K6+L6)*1.037*1.04</f>
        <v>254963.26267359999</v>
      </c>
    </row>
    <row r="7" spans="1:16" x14ac:dyDescent="0.25">
      <c r="A7" s="364" t="s">
        <v>5</v>
      </c>
      <c r="B7" s="364">
        <v>1</v>
      </c>
      <c r="C7" s="39">
        <v>6000</v>
      </c>
      <c r="D7" s="39">
        <f t="shared" si="0"/>
        <v>72000</v>
      </c>
      <c r="E7" s="364">
        <v>94</v>
      </c>
      <c r="F7" s="40">
        <v>3.03</v>
      </c>
      <c r="G7" s="38">
        <f t="shared" si="1"/>
        <v>284.82</v>
      </c>
      <c r="H7" s="41">
        <v>125</v>
      </c>
      <c r="I7" s="39">
        <v>1.77</v>
      </c>
      <c r="J7" s="38">
        <f t="shared" si="2"/>
        <v>125</v>
      </c>
      <c r="K7" s="38">
        <v>16000</v>
      </c>
      <c r="L7" s="38">
        <v>4000</v>
      </c>
      <c r="M7" s="38">
        <v>12</v>
      </c>
      <c r="N7" s="38">
        <v>12000</v>
      </c>
      <c r="O7" s="38">
        <f t="shared" si="3"/>
        <v>144000</v>
      </c>
      <c r="P7" s="38">
        <f>(D7+G7+J7+O7+K7+L7)*1.037*1.04*1.04</f>
        <v>265161.79318054399</v>
      </c>
    </row>
    <row r="10" spans="1:16" x14ac:dyDescent="0.25">
      <c r="A10" s="34" t="s">
        <v>108</v>
      </c>
      <c r="B10" s="34" t="s">
        <v>109</v>
      </c>
    </row>
    <row r="11" spans="1:16" x14ac:dyDescent="0.25">
      <c r="P11" s="34" t="s">
        <v>65</v>
      </c>
    </row>
    <row r="12" spans="1:16" x14ac:dyDescent="0.25">
      <c r="G12" s="34" t="s">
        <v>65</v>
      </c>
    </row>
    <row r="13" spans="1:16" x14ac:dyDescent="0.25">
      <c r="M13" s="34" t="s">
        <v>65</v>
      </c>
    </row>
  </sheetData>
  <mergeCells count="8">
    <mergeCell ref="B1:P1"/>
    <mergeCell ref="B2:F2"/>
    <mergeCell ref="A3:A4"/>
    <mergeCell ref="B3:D3"/>
    <mergeCell ref="E3:G3"/>
    <mergeCell ref="H3:J3"/>
    <mergeCell ref="M3:O3"/>
    <mergeCell ref="P3:P4"/>
  </mergeCells>
  <pageMargins left="0.7" right="0.7" top="0.75" bottom="0.7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9"/>
  <sheetViews>
    <sheetView view="pageBreakPreview" zoomScaleSheetLayoutView="100" workbookViewId="0">
      <selection activeCell="A27" sqref="A27"/>
    </sheetView>
  </sheetViews>
  <sheetFormatPr defaultRowHeight="15" x14ac:dyDescent="0.25"/>
  <cols>
    <col min="1" max="1" width="29.7109375" customWidth="1"/>
    <col min="2" max="2" width="8.85546875" customWidth="1"/>
    <col min="3" max="3" width="10.140625" customWidth="1"/>
    <col min="4" max="4" width="12.140625" customWidth="1"/>
    <col min="5" max="7" width="17.85546875" bestFit="1" customWidth="1"/>
    <col min="8" max="8" width="9.42578125" customWidth="1"/>
  </cols>
  <sheetData>
    <row r="1" spans="1:7" x14ac:dyDescent="0.25">
      <c r="A1" s="581" t="s">
        <v>40</v>
      </c>
      <c r="B1" s="581"/>
      <c r="C1" s="581"/>
      <c r="D1" s="581"/>
      <c r="E1" s="581"/>
      <c r="F1" s="581"/>
      <c r="G1" s="581"/>
    </row>
    <row r="2" spans="1:7" ht="9" customHeight="1" x14ac:dyDescent="0.25">
      <c r="A2" s="592"/>
      <c r="B2" s="592"/>
      <c r="C2" s="592"/>
      <c r="D2" s="592"/>
      <c r="E2" s="592"/>
      <c r="F2" s="592"/>
      <c r="G2" s="592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593" t="s">
        <v>0</v>
      </c>
      <c r="B4" s="594" t="s">
        <v>41</v>
      </c>
      <c r="C4" s="595"/>
      <c r="D4" s="595"/>
      <c r="E4" s="595"/>
      <c r="F4" s="595"/>
      <c r="G4" s="596"/>
    </row>
    <row r="5" spans="1:7" x14ac:dyDescent="0.25">
      <c r="A5" s="593"/>
      <c r="B5" s="1" t="s">
        <v>85</v>
      </c>
      <c r="C5" s="1" t="s">
        <v>1</v>
      </c>
      <c r="D5" s="1" t="s">
        <v>2</v>
      </c>
      <c r="E5" s="2" t="s">
        <v>19</v>
      </c>
      <c r="F5" s="2" t="s">
        <v>3</v>
      </c>
      <c r="G5" s="2" t="s">
        <v>5</v>
      </c>
    </row>
    <row r="6" spans="1:7" s="102" customFormat="1" x14ac:dyDescent="0.25">
      <c r="A6" s="332"/>
      <c r="B6" s="332"/>
      <c r="C6" s="104"/>
      <c r="D6" s="99"/>
      <c r="E6" s="105">
        <f>C6*D6</f>
        <v>0</v>
      </c>
      <c r="F6" s="104">
        <f>E6*1.04</f>
        <v>0</v>
      </c>
      <c r="G6" s="104">
        <f>F6*1.04</f>
        <v>0</v>
      </c>
    </row>
    <row r="7" spans="1:7" x14ac:dyDescent="0.25">
      <c r="A7" s="1" t="s">
        <v>4</v>
      </c>
      <c r="B7" s="1"/>
      <c r="C7" s="3"/>
      <c r="D7" s="4"/>
      <c r="E7" s="5">
        <f>E6</f>
        <v>0</v>
      </c>
      <c r="F7" s="5">
        <f t="shared" ref="F7:G7" si="0">F6</f>
        <v>0</v>
      </c>
      <c r="G7" s="5">
        <f t="shared" si="0"/>
        <v>0</v>
      </c>
    </row>
    <row r="8" spans="1:7" x14ac:dyDescent="0.25">
      <c r="A8" s="6"/>
      <c r="B8" s="6"/>
      <c r="C8" s="6"/>
      <c r="D8" s="6"/>
      <c r="E8" s="6"/>
      <c r="F8" s="6"/>
      <c r="G8" s="6"/>
    </row>
    <row r="9" spans="1:7" x14ac:dyDescent="0.25">
      <c r="A9" s="6"/>
      <c r="B9" s="6"/>
      <c r="C9" s="6"/>
      <c r="D9" s="6"/>
      <c r="E9" s="6"/>
      <c r="F9" s="6"/>
      <c r="G9" s="6"/>
    </row>
  </sheetData>
  <mergeCells count="4">
    <mergeCell ref="A1:G1"/>
    <mergeCell ref="A2:G2"/>
    <mergeCell ref="A4:A5"/>
    <mergeCell ref="B4:G4"/>
  </mergeCells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7"/>
  <sheetViews>
    <sheetView view="pageBreakPreview" zoomScaleSheetLayoutView="100" workbookViewId="0">
      <selection activeCell="J6" sqref="J6"/>
    </sheetView>
  </sheetViews>
  <sheetFormatPr defaultColWidth="8.85546875" defaultRowHeight="15" x14ac:dyDescent="0.25"/>
  <cols>
    <col min="1" max="1" width="29.28515625" style="315" customWidth="1"/>
    <col min="2" max="2" width="10.85546875" style="315" hidden="1" customWidth="1"/>
    <col min="3" max="3" width="9.140625" style="315" hidden="1" customWidth="1"/>
    <col min="4" max="4" width="13" style="315" hidden="1" customWidth="1"/>
    <col min="5" max="5" width="14.5703125" style="315" hidden="1" customWidth="1"/>
    <col min="6" max="7" width="8.85546875" style="315"/>
    <col min="8" max="8" width="13.28515625" style="315" customWidth="1"/>
    <col min="9" max="9" width="14.7109375" style="315" customWidth="1"/>
    <col min="10" max="10" width="13.85546875" style="315" customWidth="1"/>
    <col min="11" max="16384" width="8.85546875" style="315"/>
  </cols>
  <sheetData>
    <row r="1" spans="1:11" ht="24" customHeight="1" x14ac:dyDescent="0.25">
      <c r="A1" s="597" t="s">
        <v>119</v>
      </c>
      <c r="B1" s="597"/>
      <c r="C1" s="597"/>
      <c r="D1" s="597"/>
      <c r="E1" s="597"/>
      <c r="F1" s="597"/>
      <c r="G1" s="597"/>
      <c r="H1" s="597"/>
      <c r="I1" s="597"/>
      <c r="J1" s="597"/>
    </row>
    <row r="3" spans="1:11" ht="48.75" customHeight="1" x14ac:dyDescent="0.25">
      <c r="A3" s="598"/>
      <c r="B3" s="600" t="s">
        <v>86</v>
      </c>
      <c r="C3" s="601"/>
      <c r="D3" s="601"/>
      <c r="E3" s="602"/>
      <c r="F3" s="603" t="s">
        <v>120</v>
      </c>
      <c r="G3" s="604"/>
      <c r="H3" s="604"/>
      <c r="I3" s="605"/>
      <c r="J3" s="316" t="s">
        <v>4</v>
      </c>
      <c r="K3" s="606"/>
    </row>
    <row r="4" spans="1:11" x14ac:dyDescent="0.25">
      <c r="A4" s="599"/>
      <c r="B4" s="316" t="s">
        <v>63</v>
      </c>
      <c r="C4" s="317" t="s">
        <v>64</v>
      </c>
      <c r="D4" s="318" t="s">
        <v>728</v>
      </c>
      <c r="E4" s="318" t="s">
        <v>36</v>
      </c>
      <c r="F4" s="316" t="s">
        <v>63</v>
      </c>
      <c r="G4" s="317" t="s">
        <v>64</v>
      </c>
      <c r="H4" s="318" t="s">
        <v>728</v>
      </c>
      <c r="I4" s="318" t="s">
        <v>36</v>
      </c>
      <c r="J4" s="316" t="s">
        <v>60</v>
      </c>
      <c r="K4" s="606"/>
    </row>
    <row r="5" spans="1:11" s="34" customFormat="1" x14ac:dyDescent="0.25">
      <c r="A5" s="364" t="s">
        <v>733</v>
      </c>
      <c r="B5" s="364" t="s">
        <v>827</v>
      </c>
      <c r="C5" s="364">
        <v>1</v>
      </c>
      <c r="D5" s="106"/>
      <c r="E5" s="106">
        <f>C5*D5</f>
        <v>0</v>
      </c>
      <c r="F5" s="364" t="s">
        <v>118</v>
      </c>
      <c r="G5" s="364">
        <v>4</v>
      </c>
      <c r="H5" s="38">
        <v>31500</v>
      </c>
      <c r="I5" s="38">
        <f>G5*H5</f>
        <v>126000</v>
      </c>
      <c r="J5" s="38">
        <f>(E5+I5)</f>
        <v>126000</v>
      </c>
    </row>
    <row r="6" spans="1:11" s="34" customFormat="1" x14ac:dyDescent="0.25">
      <c r="A6" s="364" t="s">
        <v>3</v>
      </c>
      <c r="B6" s="364" t="s">
        <v>827</v>
      </c>
      <c r="C6" s="364">
        <v>1</v>
      </c>
      <c r="D6" s="106"/>
      <c r="E6" s="106">
        <f t="shared" ref="E6:E7" si="0">C6*D6</f>
        <v>0</v>
      </c>
      <c r="F6" s="364" t="s">
        <v>118</v>
      </c>
      <c r="G6" s="364">
        <v>4</v>
      </c>
      <c r="H6" s="38">
        <v>31500</v>
      </c>
      <c r="I6" s="38">
        <f t="shared" ref="I6:I7" si="1">G6*H6</f>
        <v>126000</v>
      </c>
      <c r="J6" s="38">
        <f>(E6+I6)*1.037*1.04</f>
        <v>135888.47999999998</v>
      </c>
    </row>
    <row r="7" spans="1:11" s="34" customFormat="1" x14ac:dyDescent="0.25">
      <c r="A7" s="364" t="s">
        <v>5</v>
      </c>
      <c r="B7" s="364" t="s">
        <v>827</v>
      </c>
      <c r="C7" s="364">
        <v>1</v>
      </c>
      <c r="D7" s="106"/>
      <c r="E7" s="106">
        <f t="shared" si="0"/>
        <v>0</v>
      </c>
      <c r="F7" s="364" t="s">
        <v>118</v>
      </c>
      <c r="G7" s="364">
        <v>4</v>
      </c>
      <c r="H7" s="38">
        <v>31500</v>
      </c>
      <c r="I7" s="38">
        <f t="shared" si="1"/>
        <v>126000</v>
      </c>
      <c r="J7" s="38">
        <f>(E7+I7)*1.037*1.04*1.04</f>
        <v>141324.01919999998</v>
      </c>
    </row>
  </sheetData>
  <mergeCells count="5">
    <mergeCell ref="A1:J1"/>
    <mergeCell ref="A3:A4"/>
    <mergeCell ref="B3:E3"/>
    <mergeCell ref="F3:I3"/>
    <mergeCell ref="K3:K4"/>
  </mergeCells>
  <pageMargins left="0.7" right="0.7" top="0.75" bottom="0.75" header="0.3" footer="0.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7"/>
  <sheetViews>
    <sheetView view="pageBreakPreview" zoomScaleSheetLayoutView="100" workbookViewId="0">
      <selection activeCell="E14" sqref="E14"/>
    </sheetView>
  </sheetViews>
  <sheetFormatPr defaultRowHeight="15" x14ac:dyDescent="0.25"/>
  <cols>
    <col min="1" max="1" width="36.140625" customWidth="1"/>
    <col min="2" max="2" width="9.28515625" customWidth="1"/>
    <col min="3" max="3" width="10.140625" customWidth="1"/>
    <col min="4" max="4" width="12.140625" customWidth="1"/>
    <col min="5" max="7" width="17.85546875" bestFit="1" customWidth="1"/>
    <col min="8" max="8" width="9.42578125" customWidth="1"/>
  </cols>
  <sheetData>
    <row r="1" spans="1:7" x14ac:dyDescent="0.25">
      <c r="A1" s="581" t="s">
        <v>87</v>
      </c>
      <c r="B1" s="581"/>
      <c r="C1" s="581"/>
      <c r="D1" s="581"/>
      <c r="E1" s="581"/>
      <c r="F1" s="581"/>
      <c r="G1" s="581"/>
    </row>
    <row r="2" spans="1:7" x14ac:dyDescent="0.25">
      <c r="A2" s="592"/>
      <c r="B2" s="592"/>
      <c r="C2" s="592"/>
      <c r="D2" s="592"/>
      <c r="E2" s="592"/>
      <c r="F2" s="592"/>
      <c r="G2" s="592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593" t="s">
        <v>0</v>
      </c>
      <c r="B4" s="594" t="s">
        <v>83</v>
      </c>
      <c r="C4" s="595"/>
      <c r="D4" s="595"/>
      <c r="E4" s="595"/>
      <c r="F4" s="595"/>
      <c r="G4" s="596"/>
    </row>
    <row r="5" spans="1:7" x14ac:dyDescent="0.25">
      <c r="A5" s="593"/>
      <c r="B5" s="1" t="s">
        <v>84</v>
      </c>
      <c r="C5" s="1" t="s">
        <v>1</v>
      </c>
      <c r="D5" s="1" t="s">
        <v>2</v>
      </c>
      <c r="E5" s="2" t="s">
        <v>19</v>
      </c>
      <c r="F5" s="2" t="s">
        <v>3</v>
      </c>
      <c r="G5" s="2" t="s">
        <v>5</v>
      </c>
    </row>
    <row r="6" spans="1:7" s="102" customFormat="1" x14ac:dyDescent="0.25">
      <c r="A6" s="365" t="s">
        <v>830</v>
      </c>
      <c r="B6" s="365" t="s">
        <v>134</v>
      </c>
      <c r="C6" s="104">
        <v>2000</v>
      </c>
      <c r="D6" s="99">
        <v>5</v>
      </c>
      <c r="E6" s="105">
        <f>C6*D6</f>
        <v>10000</v>
      </c>
      <c r="F6" s="104">
        <f t="shared" ref="F6:G14" si="0">E6*1.04</f>
        <v>10400</v>
      </c>
      <c r="G6" s="104">
        <f t="shared" si="0"/>
        <v>10816</v>
      </c>
    </row>
    <row r="7" spans="1:7" s="102" customFormat="1" ht="26.25" customHeight="1" x14ac:dyDescent="0.25">
      <c r="A7" s="365" t="s">
        <v>831</v>
      </c>
      <c r="B7" s="365" t="s">
        <v>832</v>
      </c>
      <c r="C7" s="104">
        <v>650</v>
      </c>
      <c r="D7" s="99">
        <v>5</v>
      </c>
      <c r="E7" s="105">
        <f t="shared" ref="E7:E13" si="1">C7*D7</f>
        <v>3250</v>
      </c>
      <c r="F7" s="104">
        <f t="shared" si="0"/>
        <v>3380</v>
      </c>
      <c r="G7" s="104">
        <f t="shared" si="0"/>
        <v>3515.2000000000003</v>
      </c>
    </row>
    <row r="8" spans="1:7" s="102" customFormat="1" ht="39.75" hidden="1" customHeight="1" x14ac:dyDescent="0.25">
      <c r="A8" s="365" t="s">
        <v>833</v>
      </c>
      <c r="B8" s="365"/>
      <c r="C8" s="104"/>
      <c r="D8" s="99"/>
      <c r="E8" s="105">
        <f t="shared" si="1"/>
        <v>0</v>
      </c>
      <c r="F8" s="104">
        <f t="shared" si="0"/>
        <v>0</v>
      </c>
      <c r="G8" s="104">
        <f t="shared" si="0"/>
        <v>0</v>
      </c>
    </row>
    <row r="9" spans="1:7" s="102" customFormat="1" ht="45" hidden="1" x14ac:dyDescent="0.25">
      <c r="A9" s="365" t="s">
        <v>834</v>
      </c>
      <c r="B9" s="365"/>
      <c r="C9" s="104"/>
      <c r="D9" s="99"/>
      <c r="E9" s="105">
        <f t="shared" si="1"/>
        <v>0</v>
      </c>
      <c r="F9" s="104">
        <f t="shared" si="0"/>
        <v>0</v>
      </c>
      <c r="G9" s="104">
        <f t="shared" si="0"/>
        <v>0</v>
      </c>
    </row>
    <row r="10" spans="1:7" s="102" customFormat="1" ht="31.5" customHeight="1" x14ac:dyDescent="0.25">
      <c r="A10" s="399" t="s">
        <v>835</v>
      </c>
      <c r="B10" s="365" t="s">
        <v>836</v>
      </c>
      <c r="C10" s="104">
        <v>550</v>
      </c>
      <c r="D10" s="99">
        <v>3</v>
      </c>
      <c r="E10" s="105">
        <f t="shared" si="1"/>
        <v>1650</v>
      </c>
      <c r="F10" s="104">
        <f t="shared" si="0"/>
        <v>1716</v>
      </c>
      <c r="G10" s="104">
        <f t="shared" si="0"/>
        <v>1784.64</v>
      </c>
    </row>
    <row r="11" spans="1:7" s="102" customFormat="1" ht="31.5" customHeight="1" x14ac:dyDescent="0.25">
      <c r="A11" s="399" t="s">
        <v>837</v>
      </c>
      <c r="B11" s="365" t="s">
        <v>836</v>
      </c>
      <c r="C11" s="104">
        <v>550</v>
      </c>
      <c r="D11" s="99">
        <v>3</v>
      </c>
      <c r="E11" s="105">
        <f t="shared" si="1"/>
        <v>1650</v>
      </c>
      <c r="F11" s="104">
        <f t="shared" si="0"/>
        <v>1716</v>
      </c>
      <c r="G11" s="104">
        <f t="shared" si="0"/>
        <v>1784.64</v>
      </c>
    </row>
    <row r="12" spans="1:7" s="102" customFormat="1" ht="31.5" customHeight="1" x14ac:dyDescent="0.25">
      <c r="A12" s="399" t="s">
        <v>838</v>
      </c>
      <c r="B12" s="365" t="s">
        <v>836</v>
      </c>
      <c r="C12" s="104">
        <v>550</v>
      </c>
      <c r="D12" s="365">
        <v>3</v>
      </c>
      <c r="E12" s="105">
        <f t="shared" si="1"/>
        <v>1650</v>
      </c>
      <c r="F12" s="104">
        <f t="shared" si="0"/>
        <v>1716</v>
      </c>
      <c r="G12" s="104">
        <f t="shared" si="0"/>
        <v>1784.64</v>
      </c>
    </row>
    <row r="13" spans="1:7" s="102" customFormat="1" ht="31.5" customHeight="1" x14ac:dyDescent="0.25">
      <c r="A13" s="399" t="s">
        <v>839</v>
      </c>
      <c r="B13" s="365" t="s">
        <v>836</v>
      </c>
      <c r="C13" s="104">
        <v>500</v>
      </c>
      <c r="D13" s="365">
        <v>2</v>
      </c>
      <c r="E13" s="105">
        <f t="shared" si="1"/>
        <v>1000</v>
      </c>
      <c r="F13" s="104">
        <f t="shared" si="0"/>
        <v>1040</v>
      </c>
      <c r="G13" s="104">
        <f t="shared" si="0"/>
        <v>1081.6000000000001</v>
      </c>
    </row>
    <row r="14" spans="1:7" s="102" customFormat="1" ht="31.5" customHeight="1" x14ac:dyDescent="0.25">
      <c r="A14" s="365" t="s">
        <v>840</v>
      </c>
      <c r="B14" s="365" t="s">
        <v>736</v>
      </c>
      <c r="C14" s="104">
        <v>316.68</v>
      </c>
      <c r="D14" s="99">
        <v>12</v>
      </c>
      <c r="E14" s="105">
        <f>C14*D14</f>
        <v>3800.16</v>
      </c>
      <c r="F14" s="104">
        <f t="shared" si="0"/>
        <v>3952.1664000000001</v>
      </c>
      <c r="G14" s="104">
        <f t="shared" si="0"/>
        <v>4110.2530560000005</v>
      </c>
    </row>
    <row r="15" spans="1:7" x14ac:dyDescent="0.25">
      <c r="A15" s="1" t="s">
        <v>4</v>
      </c>
      <c r="B15" s="1"/>
      <c r="C15" s="3"/>
      <c r="D15" s="4"/>
      <c r="E15" s="5">
        <f>SUM(E6:E14)</f>
        <v>23000.16</v>
      </c>
      <c r="F15" s="5">
        <f>SUM(F6:F14)</f>
        <v>23920.166400000002</v>
      </c>
      <c r="G15" s="5">
        <f>SUM(G6:G14)</f>
        <v>24876.973055999999</v>
      </c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</sheetData>
  <mergeCells count="4">
    <mergeCell ref="A1:G1"/>
    <mergeCell ref="A2:G2"/>
    <mergeCell ref="A4:A5"/>
    <mergeCell ref="B4:G4"/>
  </mergeCells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6"/>
  <sheetViews>
    <sheetView view="pageBreakPreview" zoomScaleSheetLayoutView="100" workbookViewId="0">
      <selection activeCell="D7" sqref="D7"/>
    </sheetView>
  </sheetViews>
  <sheetFormatPr defaultRowHeight="15" x14ac:dyDescent="0.25"/>
  <cols>
    <col min="1" max="1" width="36.140625" customWidth="1"/>
    <col min="2" max="2" width="9.28515625" customWidth="1"/>
    <col min="3" max="3" width="14" customWidth="1"/>
    <col min="4" max="4" width="12.140625" customWidth="1"/>
    <col min="5" max="7" width="17.85546875" bestFit="1" customWidth="1"/>
    <col min="8" max="8" width="9.42578125" customWidth="1"/>
  </cols>
  <sheetData>
    <row r="1" spans="1:7" x14ac:dyDescent="0.25">
      <c r="A1" s="581" t="s">
        <v>88</v>
      </c>
      <c r="B1" s="581"/>
      <c r="C1" s="581"/>
      <c r="D1" s="581"/>
      <c r="E1" s="581"/>
      <c r="F1" s="581"/>
      <c r="G1" s="581"/>
    </row>
    <row r="2" spans="1:7" x14ac:dyDescent="0.25">
      <c r="A2" s="592"/>
      <c r="B2" s="592"/>
      <c r="C2" s="592"/>
      <c r="D2" s="592"/>
      <c r="E2" s="592"/>
      <c r="F2" s="592"/>
      <c r="G2" s="592"/>
    </row>
    <row r="3" spans="1:7" x14ac:dyDescent="0.25">
      <c r="A3" s="6"/>
      <c r="B3" s="6"/>
      <c r="C3" s="6"/>
      <c r="D3" s="6"/>
      <c r="E3" s="6"/>
      <c r="F3" s="6"/>
      <c r="G3" s="6"/>
    </row>
    <row r="4" spans="1:7" ht="21" customHeight="1" x14ac:dyDescent="0.25">
      <c r="A4" s="593" t="s">
        <v>0</v>
      </c>
      <c r="B4" s="594" t="s">
        <v>83</v>
      </c>
      <c r="C4" s="595"/>
      <c r="D4" s="595"/>
      <c r="E4" s="595"/>
      <c r="F4" s="595"/>
      <c r="G4" s="596"/>
    </row>
    <row r="5" spans="1:7" x14ac:dyDescent="0.25">
      <c r="A5" s="593"/>
      <c r="B5" s="1" t="s">
        <v>84</v>
      </c>
      <c r="C5" s="1" t="s">
        <v>1</v>
      </c>
      <c r="D5" s="1" t="s">
        <v>2</v>
      </c>
      <c r="E5" s="2" t="s">
        <v>19</v>
      </c>
      <c r="F5" s="2" t="s">
        <v>3</v>
      </c>
      <c r="G5" s="2" t="s">
        <v>5</v>
      </c>
    </row>
    <row r="6" spans="1:7" s="102" customFormat="1" ht="77.25" customHeight="1" x14ac:dyDescent="0.25">
      <c r="A6" s="365" t="s">
        <v>841</v>
      </c>
      <c r="B6" s="400" t="s">
        <v>736</v>
      </c>
      <c r="C6" s="403">
        <v>68489.899999999994</v>
      </c>
      <c r="D6" s="404">
        <v>11</v>
      </c>
      <c r="E6" s="405">
        <f>C6*D6</f>
        <v>753388.89999999991</v>
      </c>
      <c r="F6" s="403">
        <f>E6*1.04</f>
        <v>783524.45599999989</v>
      </c>
      <c r="G6" s="403">
        <f>F6*1.04</f>
        <v>814865.43423999986</v>
      </c>
    </row>
    <row r="7" spans="1:7" s="102" customFormat="1" ht="30" x14ac:dyDescent="0.25">
      <c r="A7" s="365" t="s">
        <v>737</v>
      </c>
      <c r="B7" s="400"/>
      <c r="C7" s="403"/>
      <c r="D7" s="404"/>
      <c r="E7" s="405">
        <f t="shared" ref="E7:E10" si="0">C7*D7</f>
        <v>0</v>
      </c>
      <c r="F7" s="403">
        <f t="shared" ref="F7:G10" si="1">E7*1.04</f>
        <v>0</v>
      </c>
      <c r="G7" s="403">
        <f t="shared" si="1"/>
        <v>0</v>
      </c>
    </row>
    <row r="8" spans="1:7" s="102" customFormat="1" ht="30" x14ac:dyDescent="0.25">
      <c r="A8" s="365" t="s">
        <v>89</v>
      </c>
      <c r="B8" s="400" t="s">
        <v>736</v>
      </c>
      <c r="C8" s="403">
        <v>5000</v>
      </c>
      <c r="D8" s="404">
        <v>12</v>
      </c>
      <c r="E8" s="405">
        <f t="shared" si="0"/>
        <v>60000</v>
      </c>
      <c r="F8" s="403">
        <f t="shared" si="1"/>
        <v>62400</v>
      </c>
      <c r="G8" s="403">
        <f t="shared" si="1"/>
        <v>64896</v>
      </c>
    </row>
    <row r="9" spans="1:7" s="102" customFormat="1" ht="30" x14ac:dyDescent="0.25">
      <c r="A9" s="365" t="s">
        <v>90</v>
      </c>
      <c r="B9" s="400" t="s">
        <v>736</v>
      </c>
      <c r="C9" s="403">
        <v>20000</v>
      </c>
      <c r="D9" s="404">
        <v>12</v>
      </c>
      <c r="E9" s="405">
        <f t="shared" si="0"/>
        <v>240000</v>
      </c>
      <c r="F9" s="403">
        <f t="shared" si="1"/>
        <v>249600</v>
      </c>
      <c r="G9" s="403">
        <f t="shared" si="1"/>
        <v>259584</v>
      </c>
    </row>
    <row r="10" spans="1:7" s="102" customFormat="1" ht="30.75" customHeight="1" x14ac:dyDescent="0.25">
      <c r="A10" s="341" t="s">
        <v>842</v>
      </c>
      <c r="B10" s="400" t="s">
        <v>736</v>
      </c>
      <c r="C10" s="403">
        <v>25000</v>
      </c>
      <c r="D10" s="404">
        <v>11</v>
      </c>
      <c r="E10" s="405">
        <f t="shared" si="0"/>
        <v>275000</v>
      </c>
      <c r="F10" s="403">
        <f t="shared" si="1"/>
        <v>286000</v>
      </c>
      <c r="G10" s="403">
        <f t="shared" si="1"/>
        <v>297440</v>
      </c>
    </row>
    <row r="11" spans="1:7" s="102" customFormat="1" ht="39.75" customHeight="1" x14ac:dyDescent="0.25">
      <c r="A11" s="365"/>
      <c r="B11" s="400"/>
      <c r="C11" s="403"/>
      <c r="D11" s="404"/>
      <c r="E11" s="405">
        <f t="shared" ref="E11:E12" si="2">C11*D11*1.042</f>
        <v>0</v>
      </c>
      <c r="F11" s="403"/>
      <c r="G11" s="403"/>
    </row>
    <row r="12" spans="1:7" s="102" customFormat="1" x14ac:dyDescent="0.25">
      <c r="A12" s="365"/>
      <c r="B12" s="400"/>
      <c r="C12" s="403"/>
      <c r="D12" s="404"/>
      <c r="E12" s="405">
        <f t="shared" si="2"/>
        <v>0</v>
      </c>
      <c r="F12" s="403"/>
      <c r="G12" s="403"/>
    </row>
    <row r="13" spans="1:7" s="102" customFormat="1" x14ac:dyDescent="0.25">
      <c r="A13" s="400" t="s">
        <v>4</v>
      </c>
      <c r="B13" s="400"/>
      <c r="C13" s="403"/>
      <c r="D13" s="406">
        <f>SUM(D6:D12)</f>
        <v>46</v>
      </c>
      <c r="E13" s="407">
        <f>SUM(E6:E12)</f>
        <v>1328388.8999999999</v>
      </c>
      <c r="F13" s="407">
        <f>SUM(F6:F12)</f>
        <v>1381524.4559999998</v>
      </c>
      <c r="G13" s="407">
        <f>SUM(G6:G12)</f>
        <v>1436785.4342399999</v>
      </c>
    </row>
    <row r="14" spans="1:7" s="102" customFormat="1" x14ac:dyDescent="0.25">
      <c r="A14" s="6"/>
      <c r="B14" s="594" t="s">
        <v>39</v>
      </c>
      <c r="C14" s="595"/>
      <c r="D14" s="595"/>
      <c r="E14" s="595"/>
      <c r="F14" s="595"/>
      <c r="G14" s="596"/>
    </row>
    <row r="15" spans="1:7" s="102" customFormat="1" ht="45" x14ac:dyDescent="0.25">
      <c r="A15" s="365" t="s">
        <v>135</v>
      </c>
      <c r="B15" s="408" t="s">
        <v>736</v>
      </c>
      <c r="C15" s="409">
        <v>228623</v>
      </c>
      <c r="D15" s="408">
        <v>1</v>
      </c>
      <c r="E15" s="405">
        <f>C15*D15</f>
        <v>228623</v>
      </c>
      <c r="F15" s="403">
        <f t="shared" ref="F15:G15" si="3">E15*1.04</f>
        <v>237767.92</v>
      </c>
      <c r="G15" s="403">
        <f t="shared" si="3"/>
        <v>247278.63680000001</v>
      </c>
    </row>
    <row r="16" spans="1:7" s="402" customFormat="1" x14ac:dyDescent="0.25">
      <c r="A16" s="401" t="s">
        <v>150</v>
      </c>
      <c r="B16" s="410"/>
      <c r="C16" s="410"/>
      <c r="D16" s="410">
        <f>D15</f>
        <v>1</v>
      </c>
      <c r="E16" s="410">
        <f t="shared" ref="E16:G16" si="4">E15</f>
        <v>228623</v>
      </c>
      <c r="F16" s="410">
        <f t="shared" si="4"/>
        <v>237767.92</v>
      </c>
      <c r="G16" s="410">
        <f t="shared" si="4"/>
        <v>247278.63680000001</v>
      </c>
    </row>
  </sheetData>
  <mergeCells count="5">
    <mergeCell ref="A1:G1"/>
    <mergeCell ref="A2:G2"/>
    <mergeCell ref="A4:A5"/>
    <mergeCell ref="B4:G4"/>
    <mergeCell ref="B14:G14"/>
  </mergeCells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5"/>
  <sheetViews>
    <sheetView view="pageBreakPreview" zoomScaleSheetLayoutView="100" workbookViewId="0">
      <selection activeCell="D12" sqref="D12"/>
    </sheetView>
  </sheetViews>
  <sheetFormatPr defaultRowHeight="15" x14ac:dyDescent="0.25"/>
  <cols>
    <col min="1" max="1" width="34.7109375" customWidth="1"/>
    <col min="2" max="2" width="10.5703125" customWidth="1"/>
    <col min="3" max="3" width="10.140625" customWidth="1"/>
    <col min="4" max="4" width="12.140625" customWidth="1"/>
    <col min="5" max="7" width="17.85546875" bestFit="1" customWidth="1"/>
    <col min="8" max="8" width="9.42578125" customWidth="1"/>
  </cols>
  <sheetData>
    <row r="1" spans="1:7" x14ac:dyDescent="0.25">
      <c r="A1" s="581" t="s">
        <v>38</v>
      </c>
      <c r="B1" s="581"/>
      <c r="C1" s="581"/>
      <c r="D1" s="581"/>
      <c r="E1" s="581"/>
      <c r="F1" s="581"/>
      <c r="G1" s="581"/>
    </row>
    <row r="2" spans="1:7" x14ac:dyDescent="0.25">
      <c r="A2" s="592"/>
      <c r="B2" s="592"/>
      <c r="C2" s="592"/>
      <c r="D2" s="592"/>
      <c r="E2" s="592"/>
      <c r="F2" s="592"/>
      <c r="G2" s="592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593" t="s">
        <v>0</v>
      </c>
      <c r="B4" s="594" t="s">
        <v>39</v>
      </c>
      <c r="C4" s="595"/>
      <c r="D4" s="595"/>
      <c r="E4" s="595"/>
      <c r="F4" s="595"/>
      <c r="G4" s="596"/>
    </row>
    <row r="5" spans="1:7" x14ac:dyDescent="0.25">
      <c r="A5" s="593"/>
      <c r="B5" s="1" t="s">
        <v>85</v>
      </c>
      <c r="C5" s="1" t="s">
        <v>1</v>
      </c>
      <c r="D5" s="1" t="s">
        <v>2</v>
      </c>
      <c r="E5" s="2" t="s">
        <v>19</v>
      </c>
      <c r="F5" s="2" t="s">
        <v>3</v>
      </c>
      <c r="G5" s="2" t="s">
        <v>5</v>
      </c>
    </row>
    <row r="6" spans="1:7" s="102" customFormat="1" x14ac:dyDescent="0.25">
      <c r="A6" s="322" t="s">
        <v>820</v>
      </c>
      <c r="B6" s="365" t="s">
        <v>821</v>
      </c>
      <c r="C6" s="104">
        <v>9000</v>
      </c>
      <c r="D6" s="99">
        <v>4</v>
      </c>
      <c r="E6" s="105">
        <f>C6*D6</f>
        <v>36000</v>
      </c>
      <c r="F6" s="104">
        <f>E6*1.04</f>
        <v>37440</v>
      </c>
      <c r="G6" s="104">
        <f>F6*1.04</f>
        <v>38937.599999999999</v>
      </c>
    </row>
    <row r="7" spans="1:7" s="102" customFormat="1" x14ac:dyDescent="0.25">
      <c r="A7" s="322" t="s">
        <v>822</v>
      </c>
      <c r="B7" s="365" t="s">
        <v>823</v>
      </c>
      <c r="C7" s="104">
        <v>2500</v>
      </c>
      <c r="D7" s="99">
        <v>2</v>
      </c>
      <c r="E7" s="105">
        <f t="shared" ref="E7:E12" si="0">C7*D7</f>
        <v>5000</v>
      </c>
      <c r="F7" s="104">
        <f t="shared" ref="F7:G11" si="1">E7*1.04</f>
        <v>5200</v>
      </c>
      <c r="G7" s="104">
        <f t="shared" si="1"/>
        <v>5408</v>
      </c>
    </row>
    <row r="8" spans="1:7" s="102" customFormat="1" ht="45" x14ac:dyDescent="0.25">
      <c r="A8" s="322" t="s">
        <v>824</v>
      </c>
      <c r="B8" s="365" t="s">
        <v>825</v>
      </c>
      <c r="C8" s="104">
        <v>3000</v>
      </c>
      <c r="D8" s="99">
        <v>1</v>
      </c>
      <c r="E8" s="105">
        <f t="shared" si="0"/>
        <v>3000</v>
      </c>
      <c r="F8" s="104">
        <f t="shared" si="1"/>
        <v>3120</v>
      </c>
      <c r="G8" s="104">
        <f t="shared" si="1"/>
        <v>3244.8</v>
      </c>
    </row>
    <row r="9" spans="1:7" s="102" customFormat="1" x14ac:dyDescent="0.25">
      <c r="A9" s="322" t="s">
        <v>826</v>
      </c>
      <c r="B9" s="365" t="s">
        <v>827</v>
      </c>
      <c r="C9" s="104">
        <v>200</v>
      </c>
      <c r="D9" s="99">
        <v>2</v>
      </c>
      <c r="E9" s="105">
        <f t="shared" si="0"/>
        <v>400</v>
      </c>
      <c r="F9" s="104">
        <f t="shared" si="1"/>
        <v>416</v>
      </c>
      <c r="G9" s="104">
        <f t="shared" si="1"/>
        <v>432.64</v>
      </c>
    </row>
    <row r="10" spans="1:7" s="102" customFormat="1" x14ac:dyDescent="0.25">
      <c r="A10" s="344" t="s">
        <v>828</v>
      </c>
      <c r="B10" s="365" t="s">
        <v>827</v>
      </c>
      <c r="C10" s="104">
        <v>1000</v>
      </c>
      <c r="D10" s="99">
        <v>1</v>
      </c>
      <c r="E10" s="105">
        <f t="shared" si="0"/>
        <v>1000</v>
      </c>
      <c r="F10" s="104">
        <f t="shared" si="1"/>
        <v>1040</v>
      </c>
      <c r="G10" s="104">
        <f t="shared" si="1"/>
        <v>1081.6000000000001</v>
      </c>
    </row>
    <row r="11" spans="1:7" s="102" customFormat="1" ht="30" x14ac:dyDescent="0.25">
      <c r="A11" s="344" t="s">
        <v>829</v>
      </c>
      <c r="B11" s="365" t="s">
        <v>827</v>
      </c>
      <c r="C11" s="104">
        <v>3000</v>
      </c>
      <c r="D11" s="99">
        <v>2</v>
      </c>
      <c r="E11" s="105">
        <f t="shared" si="0"/>
        <v>6000</v>
      </c>
      <c r="F11" s="104">
        <f t="shared" si="1"/>
        <v>6240</v>
      </c>
      <c r="G11" s="104">
        <f t="shared" si="1"/>
        <v>6489.6</v>
      </c>
    </row>
    <row r="12" spans="1:7" s="102" customFormat="1" x14ac:dyDescent="0.25">
      <c r="A12" s="365"/>
      <c r="B12" s="365"/>
      <c r="C12" s="104"/>
      <c r="D12" s="99"/>
      <c r="E12" s="105">
        <f t="shared" si="0"/>
        <v>0</v>
      </c>
      <c r="F12" s="104"/>
      <c r="G12" s="104"/>
    </row>
    <row r="13" spans="1:7" x14ac:dyDescent="0.25">
      <c r="A13" s="1" t="s">
        <v>4</v>
      </c>
      <c r="B13" s="1"/>
      <c r="C13" s="3"/>
      <c r="D13" s="4"/>
      <c r="E13" s="4">
        <f>E6+E7+E8+E10+E9+E11</f>
        <v>51400</v>
      </c>
      <c r="F13" s="4">
        <f t="shared" ref="F13:G13" si="2">F6+F7+F8+F10+F9+F11</f>
        <v>53456</v>
      </c>
      <c r="G13" s="4">
        <f t="shared" si="2"/>
        <v>55594.239999999998</v>
      </c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</sheetData>
  <mergeCells count="4">
    <mergeCell ref="A1:G1"/>
    <mergeCell ref="A2:G2"/>
    <mergeCell ref="A4:A5"/>
    <mergeCell ref="B4:G4"/>
  </mergeCells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U8"/>
  <sheetViews>
    <sheetView view="pageBreakPreview" topLeftCell="Z1" zoomScaleSheetLayoutView="100" workbookViewId="0">
      <selection activeCell="AU6" sqref="AU6"/>
    </sheetView>
  </sheetViews>
  <sheetFormatPr defaultColWidth="9.140625" defaultRowHeight="15" x14ac:dyDescent="0.25"/>
  <cols>
    <col min="1" max="1" width="22.28515625" style="7" customWidth="1"/>
    <col min="2" max="2" width="10.140625" style="7" customWidth="1"/>
    <col min="3" max="3" width="9.7109375" style="7" customWidth="1"/>
    <col min="4" max="4" width="13.28515625" style="7" customWidth="1"/>
    <col min="5" max="5" width="10.5703125" style="7" hidden="1" customWidth="1"/>
    <col min="6" max="6" width="0" style="7" hidden="1" customWidth="1"/>
    <col min="7" max="7" width="12.85546875" style="7" hidden="1" customWidth="1"/>
    <col min="8" max="8" width="10.5703125" style="7" customWidth="1"/>
    <col min="9" max="9" width="9.140625" style="7"/>
    <col min="10" max="10" width="14.42578125" style="7" customWidth="1"/>
    <col min="11" max="12" width="9.140625" style="7"/>
    <col min="13" max="13" width="13.42578125" style="7" customWidth="1"/>
    <col min="14" max="14" width="11" style="7" customWidth="1"/>
    <col min="15" max="15" width="9.140625" style="7"/>
    <col min="16" max="16" width="14.7109375" style="7" customWidth="1"/>
    <col min="17" max="17" width="10.28515625" style="7" customWidth="1"/>
    <col min="18" max="18" width="9.140625" style="7"/>
    <col min="19" max="19" width="13.140625" style="7" customWidth="1"/>
    <col min="20" max="20" width="10.28515625" style="7" customWidth="1"/>
    <col min="21" max="21" width="9.140625" style="7"/>
    <col min="22" max="22" width="12.85546875" style="7" customWidth="1"/>
    <col min="23" max="23" width="11.140625" style="7" customWidth="1"/>
    <col min="24" max="24" width="9.140625" style="7"/>
    <col min="25" max="25" width="13.5703125" style="7" customWidth="1"/>
    <col min="26" max="26" width="10.7109375" style="7" customWidth="1"/>
    <col min="27" max="27" width="9.140625" style="7"/>
    <col min="28" max="28" width="14" style="7" customWidth="1"/>
    <col min="29" max="29" width="11.42578125" style="7" customWidth="1"/>
    <col min="30" max="30" width="9.140625" style="7"/>
    <col min="31" max="31" width="14.7109375" style="7" customWidth="1"/>
    <col min="32" max="32" width="10.7109375" style="7" customWidth="1"/>
    <col min="33" max="33" width="9.140625" style="7"/>
    <col min="34" max="34" width="13.85546875" style="7" customWidth="1"/>
    <col min="35" max="35" width="9.140625" style="7"/>
    <col min="36" max="36" width="10.28515625" style="7" customWidth="1"/>
    <col min="37" max="37" width="14.7109375" style="7" customWidth="1"/>
    <col min="38" max="39" width="9.140625" style="7"/>
    <col min="40" max="40" width="13" style="7" customWidth="1"/>
    <col min="41" max="42" width="9.140625" style="7"/>
    <col min="43" max="43" width="14" style="7" customWidth="1"/>
    <col min="44" max="45" width="9.140625" style="7"/>
    <col min="46" max="46" width="13.140625" style="7" customWidth="1"/>
    <col min="47" max="47" width="15.5703125" style="7" customWidth="1"/>
    <col min="48" max="48" width="11.140625" style="7" bestFit="1" customWidth="1"/>
    <col min="49" max="50" width="14.42578125" style="7" customWidth="1"/>
    <col min="51" max="16384" width="9.140625" style="7"/>
  </cols>
  <sheetData>
    <row r="2" spans="1:47" x14ac:dyDescent="0.25">
      <c r="B2" s="20" t="s">
        <v>195</v>
      </c>
      <c r="C2" s="20"/>
      <c r="D2" s="20"/>
      <c r="E2" s="20"/>
      <c r="F2" s="20"/>
      <c r="G2" s="20"/>
    </row>
    <row r="3" spans="1:47" x14ac:dyDescent="0.25">
      <c r="B3" s="14"/>
      <c r="C3" s="14"/>
      <c r="D3" s="14"/>
      <c r="E3" s="14"/>
      <c r="F3" s="14"/>
      <c r="G3" s="14"/>
    </row>
    <row r="4" spans="1:47" x14ac:dyDescent="0.25">
      <c r="A4" s="598" t="s">
        <v>42</v>
      </c>
      <c r="B4" s="607" t="s">
        <v>43</v>
      </c>
      <c r="C4" s="607"/>
      <c r="D4" s="608"/>
      <c r="E4" s="607" t="s">
        <v>44</v>
      </c>
      <c r="F4" s="607"/>
      <c r="G4" s="608"/>
      <c r="H4" s="607" t="s">
        <v>45</v>
      </c>
      <c r="I4" s="607"/>
      <c r="J4" s="608"/>
      <c r="K4" s="607" t="s">
        <v>46</v>
      </c>
      <c r="L4" s="607"/>
      <c r="M4" s="608"/>
      <c r="N4" s="607" t="s">
        <v>47</v>
      </c>
      <c r="O4" s="607"/>
      <c r="P4" s="608"/>
      <c r="Q4" s="607" t="s">
        <v>48</v>
      </c>
      <c r="R4" s="607"/>
      <c r="S4" s="608"/>
      <c r="T4" s="607" t="s">
        <v>49</v>
      </c>
      <c r="U4" s="607"/>
      <c r="V4" s="608"/>
      <c r="W4" s="607" t="s">
        <v>50</v>
      </c>
      <c r="X4" s="607"/>
      <c r="Y4" s="608"/>
      <c r="Z4" s="607" t="s">
        <v>51</v>
      </c>
      <c r="AA4" s="607"/>
      <c r="AB4" s="608"/>
      <c r="AC4" s="607" t="s">
        <v>52</v>
      </c>
      <c r="AD4" s="607"/>
      <c r="AE4" s="608"/>
      <c r="AF4" s="607" t="s">
        <v>53</v>
      </c>
      <c r="AG4" s="607"/>
      <c r="AH4" s="608"/>
      <c r="AI4" s="607" t="s">
        <v>54</v>
      </c>
      <c r="AJ4" s="607"/>
      <c r="AK4" s="608"/>
      <c r="AL4" s="607" t="s">
        <v>55</v>
      </c>
      <c r="AM4" s="607"/>
      <c r="AN4" s="608"/>
      <c r="AO4" s="607" t="s">
        <v>56</v>
      </c>
      <c r="AP4" s="607"/>
      <c r="AQ4" s="608"/>
      <c r="AR4" s="607" t="s">
        <v>57</v>
      </c>
      <c r="AS4" s="607"/>
      <c r="AT4" s="608"/>
      <c r="AU4" s="609" t="s">
        <v>4</v>
      </c>
    </row>
    <row r="5" spans="1:47" ht="38.25" x14ac:dyDescent="0.25">
      <c r="A5" s="599"/>
      <c r="B5" s="15" t="s">
        <v>58</v>
      </c>
      <c r="C5" s="16" t="s">
        <v>59</v>
      </c>
      <c r="D5" s="16" t="s">
        <v>60</v>
      </c>
      <c r="E5" s="15" t="s">
        <v>58</v>
      </c>
      <c r="F5" s="16" t="s">
        <v>59</v>
      </c>
      <c r="G5" s="16" t="s">
        <v>60</v>
      </c>
      <c r="H5" s="15" t="s">
        <v>58</v>
      </c>
      <c r="I5" s="16" t="s">
        <v>59</v>
      </c>
      <c r="J5" s="16" t="s">
        <v>60</v>
      </c>
      <c r="K5" s="15" t="s">
        <v>58</v>
      </c>
      <c r="L5" s="16" t="s">
        <v>59</v>
      </c>
      <c r="M5" s="16" t="s">
        <v>60</v>
      </c>
      <c r="N5" s="15" t="s">
        <v>58</v>
      </c>
      <c r="O5" s="16" t="s">
        <v>59</v>
      </c>
      <c r="P5" s="16" t="s">
        <v>60</v>
      </c>
      <c r="Q5" s="15" t="s">
        <v>58</v>
      </c>
      <c r="R5" s="16" t="s">
        <v>59</v>
      </c>
      <c r="S5" s="16" t="s">
        <v>60</v>
      </c>
      <c r="T5" s="15" t="s">
        <v>58</v>
      </c>
      <c r="U5" s="16" t="s">
        <v>59</v>
      </c>
      <c r="V5" s="16" t="s">
        <v>60</v>
      </c>
      <c r="W5" s="15" t="s">
        <v>61</v>
      </c>
      <c r="X5" s="16" t="s">
        <v>59</v>
      </c>
      <c r="Y5" s="16" t="s">
        <v>60</v>
      </c>
      <c r="Z5" s="15" t="s">
        <v>62</v>
      </c>
      <c r="AA5" s="16" t="s">
        <v>59</v>
      </c>
      <c r="AB5" s="16" t="s">
        <v>60</v>
      </c>
      <c r="AC5" s="15" t="s">
        <v>62</v>
      </c>
      <c r="AD5" s="16" t="s">
        <v>59</v>
      </c>
      <c r="AE5" s="16" t="s">
        <v>60</v>
      </c>
      <c r="AF5" s="15" t="s">
        <v>62</v>
      </c>
      <c r="AG5" s="16" t="s">
        <v>59</v>
      </c>
      <c r="AH5" s="16" t="s">
        <v>60</v>
      </c>
      <c r="AI5" s="15" t="s">
        <v>62</v>
      </c>
      <c r="AJ5" s="16" t="s">
        <v>59</v>
      </c>
      <c r="AK5" s="16" t="s">
        <v>60</v>
      </c>
      <c r="AL5" s="15" t="s">
        <v>62</v>
      </c>
      <c r="AM5" s="16" t="s">
        <v>59</v>
      </c>
      <c r="AN5" s="16" t="s">
        <v>60</v>
      </c>
      <c r="AO5" s="15" t="s">
        <v>62</v>
      </c>
      <c r="AP5" s="16" t="s">
        <v>59</v>
      </c>
      <c r="AQ5" s="16" t="s">
        <v>60</v>
      </c>
      <c r="AR5" s="15" t="s">
        <v>62</v>
      </c>
      <c r="AS5" s="16" t="s">
        <v>59</v>
      </c>
      <c r="AT5" s="16" t="s">
        <v>60</v>
      </c>
      <c r="AU5" s="609"/>
    </row>
    <row r="6" spans="1:47" x14ac:dyDescent="0.25">
      <c r="A6" s="17" t="s">
        <v>19</v>
      </c>
      <c r="B6" s="367">
        <v>35</v>
      </c>
      <c r="C6" s="367">
        <v>409</v>
      </c>
      <c r="D6" s="103">
        <f t="shared" ref="D6:D8" si="0">B6*C6</f>
        <v>14315</v>
      </c>
      <c r="E6" s="367">
        <f t="shared" ref="E6:E8" si="1">B6</f>
        <v>35</v>
      </c>
      <c r="F6" s="367">
        <v>350</v>
      </c>
      <c r="G6" s="103">
        <f t="shared" ref="G6:G8" si="2">E6*F6</f>
        <v>12250</v>
      </c>
      <c r="H6" s="367">
        <f t="shared" ref="H6:H8" si="3">E6</f>
        <v>35</v>
      </c>
      <c r="I6" s="367">
        <v>139</v>
      </c>
      <c r="J6" s="103">
        <f t="shared" ref="J6:J8" si="4">H6*I6</f>
        <v>4865</v>
      </c>
      <c r="K6" s="367">
        <f t="shared" ref="K6:K8" si="5">H6</f>
        <v>35</v>
      </c>
      <c r="L6" s="367">
        <v>409</v>
      </c>
      <c r="M6" s="103">
        <f t="shared" ref="M6:M8" si="6">K6*L6</f>
        <v>14315</v>
      </c>
      <c r="N6" s="367">
        <f t="shared" ref="N6:N8" si="7">K6</f>
        <v>35</v>
      </c>
      <c r="O6" s="367">
        <v>350</v>
      </c>
      <c r="P6" s="103">
        <f t="shared" ref="P6:P8" si="8">N6*O6</f>
        <v>12250</v>
      </c>
      <c r="Q6" s="367">
        <f t="shared" ref="Q6:Q8" si="9">N6</f>
        <v>35</v>
      </c>
      <c r="R6" s="367">
        <v>350</v>
      </c>
      <c r="S6" s="103">
        <f t="shared" ref="S6:S8" si="10">Q6*R6</f>
        <v>12250</v>
      </c>
      <c r="T6" s="367">
        <f t="shared" ref="T6:T8" si="11">Q6</f>
        <v>35</v>
      </c>
      <c r="U6" s="367">
        <v>350</v>
      </c>
      <c r="V6" s="103">
        <f t="shared" ref="V6:V8" si="12">T6*U6</f>
        <v>12250</v>
      </c>
      <c r="W6" s="367">
        <v>27</v>
      </c>
      <c r="X6" s="367">
        <v>1694</v>
      </c>
      <c r="Y6" s="103">
        <f t="shared" ref="Y6:Y8" si="13">W6*X6</f>
        <v>45738</v>
      </c>
      <c r="Z6" s="367">
        <f t="shared" ref="Z6:Z8" si="14">T6</f>
        <v>35</v>
      </c>
      <c r="AA6" s="367">
        <v>409</v>
      </c>
      <c r="AB6" s="103">
        <f t="shared" ref="AB6:AB8" si="15">Z6*AA6</f>
        <v>14315</v>
      </c>
      <c r="AC6" s="367">
        <f t="shared" ref="AC6:AC8" si="16">Z6</f>
        <v>35</v>
      </c>
      <c r="AD6" s="367">
        <v>479</v>
      </c>
      <c r="AE6" s="103">
        <f t="shared" ref="AE6:AE8" si="17">AC6*AD6</f>
        <v>16765</v>
      </c>
      <c r="AF6" s="367">
        <f t="shared" ref="AF6:AF8" si="18">AC6</f>
        <v>35</v>
      </c>
      <c r="AG6" s="367">
        <v>211</v>
      </c>
      <c r="AH6" s="103">
        <f t="shared" ref="AH6:AH8" si="19">AF6*AG6</f>
        <v>7385</v>
      </c>
      <c r="AI6" s="367">
        <f t="shared" ref="AI6:AI8" si="20">AF6</f>
        <v>35</v>
      </c>
      <c r="AJ6" s="367">
        <v>959</v>
      </c>
      <c r="AK6" s="103">
        <f t="shared" ref="AK6:AK8" si="21">AI6*AJ6</f>
        <v>33565</v>
      </c>
      <c r="AL6" s="367">
        <f t="shared" ref="AL6:AL8" si="22">AI6</f>
        <v>35</v>
      </c>
      <c r="AM6" s="367">
        <v>215</v>
      </c>
      <c r="AN6" s="103">
        <f t="shared" ref="AN6:AN8" si="23">AL6*AM6</f>
        <v>7525</v>
      </c>
      <c r="AO6" s="367">
        <f t="shared" ref="AO6:AO8" si="24">AL6</f>
        <v>35</v>
      </c>
      <c r="AP6" s="367">
        <v>409</v>
      </c>
      <c r="AQ6" s="103">
        <f t="shared" ref="AQ6:AQ8" si="25">AO6*AP6</f>
        <v>14315</v>
      </c>
      <c r="AR6" s="367">
        <f t="shared" ref="AR6:AR8" si="26">AO6</f>
        <v>35</v>
      </c>
      <c r="AS6" s="367">
        <v>409</v>
      </c>
      <c r="AT6" s="103">
        <f t="shared" ref="AT6:AT8" si="27">AR6*AS6</f>
        <v>14315</v>
      </c>
      <c r="AU6" s="103">
        <f>(AT6+AQ6+AN6+AK6+AH6+AE6+AB6+Y6+V6+S6+P6+M6+J6+G6+D6)</f>
        <v>236418</v>
      </c>
    </row>
    <row r="7" spans="1:47" x14ac:dyDescent="0.25">
      <c r="A7" s="17" t="s">
        <v>3</v>
      </c>
      <c r="B7" s="367">
        <v>35</v>
      </c>
      <c r="C7" s="367">
        <v>409</v>
      </c>
      <c r="D7" s="103">
        <f t="shared" si="0"/>
        <v>14315</v>
      </c>
      <c r="E7" s="367">
        <f t="shared" si="1"/>
        <v>35</v>
      </c>
      <c r="F7" s="367">
        <v>350</v>
      </c>
      <c r="G7" s="103">
        <f t="shared" si="2"/>
        <v>12250</v>
      </c>
      <c r="H7" s="367">
        <f t="shared" si="3"/>
        <v>35</v>
      </c>
      <c r="I7" s="367">
        <v>139</v>
      </c>
      <c r="J7" s="103">
        <f t="shared" si="4"/>
        <v>4865</v>
      </c>
      <c r="K7" s="367">
        <f t="shared" si="5"/>
        <v>35</v>
      </c>
      <c r="L7" s="367">
        <v>409</v>
      </c>
      <c r="M7" s="103">
        <f t="shared" si="6"/>
        <v>14315</v>
      </c>
      <c r="N7" s="367">
        <f t="shared" si="7"/>
        <v>35</v>
      </c>
      <c r="O7" s="367">
        <v>350</v>
      </c>
      <c r="P7" s="103">
        <f t="shared" si="8"/>
        <v>12250</v>
      </c>
      <c r="Q7" s="367">
        <f t="shared" si="9"/>
        <v>35</v>
      </c>
      <c r="R7" s="367">
        <v>350</v>
      </c>
      <c r="S7" s="103">
        <f t="shared" si="10"/>
        <v>12250</v>
      </c>
      <c r="T7" s="367">
        <f t="shared" si="11"/>
        <v>35</v>
      </c>
      <c r="U7" s="367">
        <v>350</v>
      </c>
      <c r="V7" s="103">
        <f t="shared" si="12"/>
        <v>12250</v>
      </c>
      <c r="W7" s="367">
        <v>27</v>
      </c>
      <c r="X7" s="367">
        <v>1694</v>
      </c>
      <c r="Y7" s="103">
        <f t="shared" si="13"/>
        <v>45738</v>
      </c>
      <c r="Z7" s="367">
        <f t="shared" si="14"/>
        <v>35</v>
      </c>
      <c r="AA7" s="367">
        <v>409</v>
      </c>
      <c r="AB7" s="103">
        <f t="shared" si="15"/>
        <v>14315</v>
      </c>
      <c r="AC7" s="367">
        <f t="shared" si="16"/>
        <v>35</v>
      </c>
      <c r="AD7" s="367">
        <v>479</v>
      </c>
      <c r="AE7" s="103">
        <f t="shared" si="17"/>
        <v>16765</v>
      </c>
      <c r="AF7" s="367">
        <f t="shared" si="18"/>
        <v>35</v>
      </c>
      <c r="AG7" s="367">
        <v>211</v>
      </c>
      <c r="AH7" s="103">
        <f t="shared" si="19"/>
        <v>7385</v>
      </c>
      <c r="AI7" s="367">
        <f t="shared" si="20"/>
        <v>35</v>
      </c>
      <c r="AJ7" s="367">
        <v>959</v>
      </c>
      <c r="AK7" s="103">
        <f t="shared" si="21"/>
        <v>33565</v>
      </c>
      <c r="AL7" s="367">
        <f t="shared" si="22"/>
        <v>35</v>
      </c>
      <c r="AM7" s="367">
        <v>215</v>
      </c>
      <c r="AN7" s="103">
        <f t="shared" si="23"/>
        <v>7525</v>
      </c>
      <c r="AO7" s="367">
        <f t="shared" si="24"/>
        <v>35</v>
      </c>
      <c r="AP7" s="367">
        <v>409</v>
      </c>
      <c r="AQ7" s="103">
        <f t="shared" si="25"/>
        <v>14315</v>
      </c>
      <c r="AR7" s="367">
        <f t="shared" si="26"/>
        <v>35</v>
      </c>
      <c r="AS7" s="367">
        <v>409</v>
      </c>
      <c r="AT7" s="103">
        <f t="shared" si="27"/>
        <v>14315</v>
      </c>
      <c r="AU7" s="103">
        <f>(AT7+AQ7+AN7+AK7+AH7+AE7+AB7+Y7+V7+S7+P7+M7+J7+G7+D7)*1.037*1.04</f>
        <v>254972.08463999999</v>
      </c>
    </row>
    <row r="8" spans="1:47" x14ac:dyDescent="0.25">
      <c r="A8" s="17" t="s">
        <v>5</v>
      </c>
      <c r="B8" s="367">
        <v>35</v>
      </c>
      <c r="C8" s="367">
        <v>409</v>
      </c>
      <c r="D8" s="103">
        <f t="shared" si="0"/>
        <v>14315</v>
      </c>
      <c r="E8" s="367">
        <f t="shared" si="1"/>
        <v>35</v>
      </c>
      <c r="F8" s="367">
        <v>350</v>
      </c>
      <c r="G8" s="103">
        <f t="shared" si="2"/>
        <v>12250</v>
      </c>
      <c r="H8" s="367">
        <f t="shared" si="3"/>
        <v>35</v>
      </c>
      <c r="I8" s="367">
        <v>139</v>
      </c>
      <c r="J8" s="103">
        <f t="shared" si="4"/>
        <v>4865</v>
      </c>
      <c r="K8" s="367">
        <f t="shared" si="5"/>
        <v>35</v>
      </c>
      <c r="L8" s="367">
        <v>409</v>
      </c>
      <c r="M8" s="103">
        <f t="shared" si="6"/>
        <v>14315</v>
      </c>
      <c r="N8" s="367">
        <f t="shared" si="7"/>
        <v>35</v>
      </c>
      <c r="O8" s="367">
        <v>350</v>
      </c>
      <c r="P8" s="103">
        <f t="shared" si="8"/>
        <v>12250</v>
      </c>
      <c r="Q8" s="367">
        <f t="shared" si="9"/>
        <v>35</v>
      </c>
      <c r="R8" s="367">
        <v>350</v>
      </c>
      <c r="S8" s="103">
        <f t="shared" si="10"/>
        <v>12250</v>
      </c>
      <c r="T8" s="367">
        <f t="shared" si="11"/>
        <v>35</v>
      </c>
      <c r="U8" s="367">
        <v>350</v>
      </c>
      <c r="V8" s="103">
        <f t="shared" si="12"/>
        <v>12250</v>
      </c>
      <c r="W8" s="367">
        <v>27</v>
      </c>
      <c r="X8" s="367">
        <v>1694</v>
      </c>
      <c r="Y8" s="103">
        <f t="shared" si="13"/>
        <v>45738</v>
      </c>
      <c r="Z8" s="367">
        <f t="shared" si="14"/>
        <v>35</v>
      </c>
      <c r="AA8" s="367">
        <v>409</v>
      </c>
      <c r="AB8" s="103">
        <f t="shared" si="15"/>
        <v>14315</v>
      </c>
      <c r="AC8" s="367">
        <f t="shared" si="16"/>
        <v>35</v>
      </c>
      <c r="AD8" s="367">
        <v>479</v>
      </c>
      <c r="AE8" s="103">
        <f t="shared" si="17"/>
        <v>16765</v>
      </c>
      <c r="AF8" s="367">
        <f t="shared" si="18"/>
        <v>35</v>
      </c>
      <c r="AG8" s="367">
        <v>211</v>
      </c>
      <c r="AH8" s="103">
        <f t="shared" si="19"/>
        <v>7385</v>
      </c>
      <c r="AI8" s="367">
        <f t="shared" si="20"/>
        <v>35</v>
      </c>
      <c r="AJ8" s="367">
        <v>959</v>
      </c>
      <c r="AK8" s="103">
        <f t="shared" si="21"/>
        <v>33565</v>
      </c>
      <c r="AL8" s="367">
        <f t="shared" si="22"/>
        <v>35</v>
      </c>
      <c r="AM8" s="367">
        <v>215</v>
      </c>
      <c r="AN8" s="103">
        <f t="shared" si="23"/>
        <v>7525</v>
      </c>
      <c r="AO8" s="367">
        <f t="shared" si="24"/>
        <v>35</v>
      </c>
      <c r="AP8" s="367">
        <v>409</v>
      </c>
      <c r="AQ8" s="103">
        <f t="shared" si="25"/>
        <v>14315</v>
      </c>
      <c r="AR8" s="367">
        <f t="shared" si="26"/>
        <v>35</v>
      </c>
      <c r="AS8" s="367">
        <v>409</v>
      </c>
      <c r="AT8" s="103">
        <f t="shared" si="27"/>
        <v>14315</v>
      </c>
      <c r="AU8" s="103">
        <f>(AT8+AQ8+AN8+AK8+AH8+AE8+AB8+Y8+V8+S8+P8+M8+J8+G8+D8)*1.037*1.04*1.04</f>
        <v>265170.96802560001</v>
      </c>
    </row>
  </sheetData>
  <mergeCells count="17"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R4:AT4"/>
    <mergeCell ref="AU4:AU5"/>
    <mergeCell ref="AC4:AE4"/>
    <mergeCell ref="AF4:AH4"/>
    <mergeCell ref="AI4:AK4"/>
    <mergeCell ref="AL4:AN4"/>
    <mergeCell ref="AO4:AQ4"/>
  </mergeCells>
  <pageMargins left="0" right="0" top="0.74803149606299213" bottom="0.74803149606299213" header="0.31496062992125984" footer="0.31496062992125984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7"/>
  <sheetViews>
    <sheetView view="pageBreakPreview" zoomScaleSheetLayoutView="100" workbookViewId="0">
      <selection activeCell="J24" sqref="J24"/>
    </sheetView>
  </sheetViews>
  <sheetFormatPr defaultColWidth="9.140625" defaultRowHeight="15" x14ac:dyDescent="0.25"/>
  <cols>
    <col min="1" max="1" width="14.140625" style="18" customWidth="1"/>
    <col min="2" max="2" width="12.7109375" style="18" customWidth="1"/>
    <col min="3" max="3" width="11.7109375" style="18" customWidth="1"/>
    <col min="4" max="4" width="13" style="18" customWidth="1"/>
    <col min="5" max="5" width="13.85546875" style="18" customWidth="1"/>
    <col min="6" max="6" width="12.85546875" style="18" customWidth="1"/>
    <col min="7" max="7" width="10.7109375" style="18" customWidth="1"/>
    <col min="8" max="8" width="10.140625" style="18" bestFit="1" customWidth="1"/>
    <col min="9" max="9" width="15" style="18" customWidth="1"/>
    <col min="10" max="10" width="31.85546875" style="18" customWidth="1"/>
    <col min="11" max="11" width="13.5703125" style="18" customWidth="1"/>
    <col min="12" max="12" width="16.85546875" style="18" customWidth="1"/>
    <col min="13" max="16384" width="9.140625" style="18"/>
  </cols>
  <sheetData>
    <row r="1" spans="1:12" x14ac:dyDescent="0.25">
      <c r="A1" s="610" t="s">
        <v>78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</row>
    <row r="2" spans="1:12" ht="15" customHeight="1" x14ac:dyDescent="0.25">
      <c r="A2" s="611" t="s">
        <v>66</v>
      </c>
      <c r="B2" s="613" t="s">
        <v>67</v>
      </c>
      <c r="C2" s="613"/>
      <c r="D2" s="613"/>
      <c r="E2" s="614" t="s">
        <v>68</v>
      </c>
      <c r="F2" s="614"/>
      <c r="G2" s="614" t="s">
        <v>69</v>
      </c>
      <c r="H2" s="614"/>
      <c r="I2" s="614"/>
      <c r="J2" s="614" t="s">
        <v>70</v>
      </c>
      <c r="K2" s="614"/>
      <c r="L2" s="615" t="s">
        <v>71</v>
      </c>
    </row>
    <row r="3" spans="1:12" ht="89.25" x14ac:dyDescent="0.25">
      <c r="A3" s="612"/>
      <c r="B3" s="21" t="s">
        <v>72</v>
      </c>
      <c r="C3" s="22" t="s">
        <v>73</v>
      </c>
      <c r="D3" s="22" t="s">
        <v>74</v>
      </c>
      <c r="E3" s="22" t="s">
        <v>75</v>
      </c>
      <c r="F3" s="22" t="s">
        <v>74</v>
      </c>
      <c r="G3" s="22" t="s">
        <v>76</v>
      </c>
      <c r="H3" s="23" t="s">
        <v>59</v>
      </c>
      <c r="I3" s="22" t="s">
        <v>74</v>
      </c>
      <c r="J3" s="23" t="s">
        <v>77</v>
      </c>
      <c r="K3" s="22" t="s">
        <v>74</v>
      </c>
      <c r="L3" s="615"/>
    </row>
    <row r="4" spans="1:12" ht="36.75" customHeight="1" x14ac:dyDescent="0.25">
      <c r="A4" s="17">
        <v>1</v>
      </c>
      <c r="B4" s="17"/>
      <c r="C4" s="19"/>
      <c r="D4" s="19">
        <f t="shared" ref="D4:D6" si="0">C4*B4</f>
        <v>0</v>
      </c>
      <c r="E4" s="19"/>
      <c r="F4" s="19">
        <f>E4*2*A4</f>
        <v>0</v>
      </c>
      <c r="G4" s="17"/>
      <c r="H4" s="17"/>
      <c r="I4" s="106">
        <f>G4*H4*A4</f>
        <v>0</v>
      </c>
      <c r="J4" s="24" t="s">
        <v>843</v>
      </c>
      <c r="K4" s="19">
        <v>4500</v>
      </c>
      <c r="L4" s="19">
        <f t="shared" ref="L4:L6" si="1">D4+F4+I4+K4</f>
        <v>4500</v>
      </c>
    </row>
    <row r="5" spans="1:12" ht="36.75" customHeight="1" x14ac:dyDescent="0.25">
      <c r="A5" s="17">
        <v>1</v>
      </c>
      <c r="B5" s="17"/>
      <c r="C5" s="19"/>
      <c r="D5" s="19">
        <f t="shared" si="0"/>
        <v>0</v>
      </c>
      <c r="E5" s="19"/>
      <c r="F5" s="19">
        <f t="shared" ref="F5:F6" si="2">E5*2*A5</f>
        <v>0</v>
      </c>
      <c r="G5" s="17"/>
      <c r="H5" s="17"/>
      <c r="I5" s="106">
        <f t="shared" ref="I5:I6" si="3">G5*H5*A5</f>
        <v>0</v>
      </c>
      <c r="J5" s="24" t="s">
        <v>844</v>
      </c>
      <c r="K5" s="19">
        <v>4500</v>
      </c>
      <c r="L5" s="19">
        <f t="shared" si="1"/>
        <v>4500</v>
      </c>
    </row>
    <row r="6" spans="1:12" ht="36.75" customHeight="1" x14ac:dyDescent="0.25">
      <c r="A6" s="17">
        <v>1</v>
      </c>
      <c r="B6" s="17"/>
      <c r="C6" s="19"/>
      <c r="D6" s="19">
        <f t="shared" si="0"/>
        <v>0</v>
      </c>
      <c r="E6" s="19"/>
      <c r="F6" s="19">
        <f t="shared" si="2"/>
        <v>0</v>
      </c>
      <c r="G6" s="17"/>
      <c r="H6" s="17"/>
      <c r="I6" s="106">
        <f t="shared" si="3"/>
        <v>0</v>
      </c>
      <c r="J6" s="24" t="s">
        <v>845</v>
      </c>
      <c r="K6" s="19">
        <v>4500</v>
      </c>
      <c r="L6" s="19">
        <f t="shared" si="1"/>
        <v>4500</v>
      </c>
    </row>
    <row r="7" spans="1:12" x14ac:dyDescent="0.25">
      <c r="A7" s="17" t="s">
        <v>4</v>
      </c>
      <c r="B7" s="17"/>
      <c r="C7" s="19"/>
      <c r="D7" s="19">
        <f>SUM(D4:D6)</f>
        <v>0</v>
      </c>
      <c r="E7" s="19"/>
      <c r="F7" s="19">
        <f>SUM(F4:F6)</f>
        <v>0</v>
      </c>
      <c r="G7" s="17"/>
      <c r="H7" s="17"/>
      <c r="I7" s="19">
        <f>SUM(I4:I6)</f>
        <v>0</v>
      </c>
      <c r="J7" s="24"/>
      <c r="K7" s="19">
        <f>SUM(K4:K6)</f>
        <v>13500</v>
      </c>
      <c r="L7" s="19">
        <f>SUM(L4:L6)</f>
        <v>13500</v>
      </c>
    </row>
  </sheetData>
  <mergeCells count="7">
    <mergeCell ref="A1:L1"/>
    <mergeCell ref="A2:A3"/>
    <mergeCell ref="B2:D2"/>
    <mergeCell ref="E2:F2"/>
    <mergeCell ref="G2:I2"/>
    <mergeCell ref="J2:K2"/>
    <mergeCell ref="L2:L3"/>
  </mergeCells>
  <pageMargins left="0.7" right="0.7" top="0.75" bottom="0.75" header="0.3" footer="0.3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5"/>
  <sheetViews>
    <sheetView view="pageBreakPreview" zoomScaleSheetLayoutView="100" workbookViewId="0">
      <selection activeCell="I10" sqref="I10"/>
    </sheetView>
  </sheetViews>
  <sheetFormatPr defaultColWidth="8.85546875" defaultRowHeight="15" x14ac:dyDescent="0.25"/>
  <cols>
    <col min="1" max="1" width="27.28515625" style="18" customWidth="1"/>
    <col min="2" max="2" width="17.7109375" style="18" customWidth="1"/>
    <col min="3" max="3" width="16.28515625" style="18" customWidth="1"/>
    <col min="4" max="4" width="13.42578125" style="18" customWidth="1"/>
    <col min="5" max="5" width="13" style="18" customWidth="1"/>
    <col min="6" max="6" width="12.85546875" style="18" customWidth="1"/>
    <col min="7" max="7" width="16.140625" style="18" customWidth="1"/>
    <col min="8" max="8" width="13.42578125" style="18" customWidth="1"/>
    <col min="9" max="9" width="13" style="18" customWidth="1"/>
    <col min="10" max="10" width="8.85546875" style="18"/>
    <col min="11" max="11" width="19.7109375" style="18" customWidth="1"/>
    <col min="12" max="12" width="16.85546875" style="18" customWidth="1"/>
    <col min="13" max="16384" width="8.85546875" style="18"/>
  </cols>
  <sheetData>
    <row r="1" spans="1:13" x14ac:dyDescent="0.25">
      <c r="A1" s="610" t="s">
        <v>82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</row>
    <row r="2" spans="1:13" x14ac:dyDescent="0.25">
      <c r="A2" s="611" t="s">
        <v>79</v>
      </c>
      <c r="B2" s="611" t="s">
        <v>80</v>
      </c>
      <c r="C2" s="613" t="s">
        <v>81</v>
      </c>
      <c r="D2" s="613" t="s">
        <v>67</v>
      </c>
      <c r="E2" s="613"/>
      <c r="F2" s="613"/>
      <c r="G2" s="614" t="s">
        <v>68</v>
      </c>
      <c r="H2" s="614"/>
      <c r="I2" s="614" t="s">
        <v>69</v>
      </c>
      <c r="J2" s="614"/>
      <c r="K2" s="614"/>
      <c r="L2" s="615" t="s">
        <v>71</v>
      </c>
    </row>
    <row r="3" spans="1:13" ht="63.75" x14ac:dyDescent="0.25">
      <c r="A3" s="612"/>
      <c r="B3" s="612"/>
      <c r="C3" s="613"/>
      <c r="D3" s="21" t="s">
        <v>72</v>
      </c>
      <c r="E3" s="22" t="s">
        <v>73</v>
      </c>
      <c r="F3" s="22" t="s">
        <v>74</v>
      </c>
      <c r="G3" s="22" t="s">
        <v>75</v>
      </c>
      <c r="H3" s="22" t="s">
        <v>74</v>
      </c>
      <c r="I3" s="22" t="s">
        <v>76</v>
      </c>
      <c r="J3" s="23" t="s">
        <v>59</v>
      </c>
      <c r="K3" s="22" t="s">
        <v>74</v>
      </c>
      <c r="L3" s="615"/>
    </row>
    <row r="4" spans="1:13" ht="45" x14ac:dyDescent="0.25">
      <c r="A4" s="332" t="s">
        <v>738</v>
      </c>
      <c r="B4" s="17" t="s">
        <v>739</v>
      </c>
      <c r="C4" s="17"/>
      <c r="D4" s="17"/>
      <c r="E4" s="343">
        <v>400</v>
      </c>
      <c r="F4" s="343">
        <f>E4*D4*C4</f>
        <v>0</v>
      </c>
      <c r="G4" s="343"/>
      <c r="H4" s="343">
        <f>2*G4*C4</f>
        <v>0</v>
      </c>
      <c r="I4" s="17">
        <v>6</v>
      </c>
      <c r="J4" s="343">
        <v>800</v>
      </c>
      <c r="K4" s="343">
        <f>I4*J4*C4</f>
        <v>0</v>
      </c>
      <c r="L4" s="343">
        <f>K4+H4+F4</f>
        <v>0</v>
      </c>
    </row>
    <row r="5" spans="1:13" x14ac:dyDescent="0.25">
      <c r="A5" s="25" t="s">
        <v>4</v>
      </c>
      <c r="B5" s="25"/>
      <c r="C5" s="25"/>
      <c r="D5" s="25"/>
      <c r="E5" s="25"/>
      <c r="F5" s="26">
        <f>F4</f>
        <v>0</v>
      </c>
      <c r="G5" s="25"/>
      <c r="H5" s="26">
        <f>H4</f>
        <v>0</v>
      </c>
      <c r="I5" s="26"/>
      <c r="J5" s="25"/>
      <c r="K5" s="26">
        <f>K4</f>
        <v>0</v>
      </c>
      <c r="L5" s="26">
        <f>L4</f>
        <v>0</v>
      </c>
      <c r="M5" s="330"/>
    </row>
  </sheetData>
  <mergeCells count="8">
    <mergeCell ref="A1:L1"/>
    <mergeCell ref="A2:A3"/>
    <mergeCell ref="B2:B3"/>
    <mergeCell ref="C2:C3"/>
    <mergeCell ref="D2:F2"/>
    <mergeCell ref="G2:H2"/>
    <mergeCell ref="I2:K2"/>
    <mergeCell ref="L2:L3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F45"/>
  <sheetViews>
    <sheetView view="pageBreakPreview" topLeftCell="A20" zoomScaleSheetLayoutView="100" workbookViewId="0">
      <selection activeCell="C45" sqref="C45"/>
    </sheetView>
  </sheetViews>
  <sheetFormatPr defaultRowHeight="15" x14ac:dyDescent="0.25"/>
  <cols>
    <col min="1" max="1" width="41.5703125" customWidth="1"/>
    <col min="2" max="2" width="12.5703125" customWidth="1"/>
    <col min="3" max="3" width="16.85546875" customWidth="1"/>
    <col min="4" max="4" width="19.28515625" customWidth="1"/>
    <col min="5" max="5" width="18.7109375" customWidth="1"/>
    <col min="6" max="6" width="18.42578125" customWidth="1"/>
    <col min="7" max="7" width="16.85546875" customWidth="1"/>
  </cols>
  <sheetData>
    <row r="3" spans="1:6" x14ac:dyDescent="0.25">
      <c r="A3" s="581" t="s">
        <v>12</v>
      </c>
      <c r="B3" s="581"/>
      <c r="C3" s="581"/>
      <c r="D3" s="581"/>
      <c r="E3" s="581"/>
      <c r="F3" s="581"/>
    </row>
    <row r="4" spans="1:6" x14ac:dyDescent="0.25">
      <c r="A4" s="616"/>
      <c r="B4" s="616"/>
      <c r="C4" s="616"/>
      <c r="D4" s="616"/>
      <c r="E4" s="616"/>
      <c r="F4" s="616"/>
    </row>
    <row r="5" spans="1:6" x14ac:dyDescent="0.25">
      <c r="A5" s="6"/>
      <c r="B5" s="6"/>
      <c r="C5" s="6"/>
      <c r="D5" s="6"/>
      <c r="E5" s="6"/>
      <c r="F5" s="6"/>
    </row>
    <row r="7" spans="1:6" x14ac:dyDescent="0.25">
      <c r="A7" s="593" t="s">
        <v>0</v>
      </c>
      <c r="B7" s="617" t="s">
        <v>13</v>
      </c>
      <c r="C7" s="593"/>
      <c r="D7" s="593"/>
      <c r="E7" s="593"/>
      <c r="F7" s="593"/>
    </row>
    <row r="8" spans="1:6" x14ac:dyDescent="0.25">
      <c r="A8" s="593"/>
      <c r="B8" s="1" t="s">
        <v>1</v>
      </c>
      <c r="C8" s="1" t="s">
        <v>2</v>
      </c>
      <c r="D8" s="2" t="s">
        <v>19</v>
      </c>
      <c r="E8" s="2" t="s">
        <v>3</v>
      </c>
      <c r="F8" s="2" t="s">
        <v>5</v>
      </c>
    </row>
    <row r="9" spans="1:6" s="102" customFormat="1" ht="45" x14ac:dyDescent="0.25">
      <c r="A9" s="322" t="s">
        <v>846</v>
      </c>
      <c r="B9" s="403">
        <v>710</v>
      </c>
      <c r="C9" s="404">
        <v>10</v>
      </c>
      <c r="D9" s="405">
        <f>B9*C9</f>
        <v>7100</v>
      </c>
      <c r="E9" s="403">
        <f>D9*1.04</f>
        <v>7384</v>
      </c>
      <c r="F9" s="403">
        <f>E9*1.04</f>
        <v>7679.3600000000006</v>
      </c>
    </row>
    <row r="10" spans="1:6" s="102" customFormat="1" ht="30" x14ac:dyDescent="0.25">
      <c r="A10" s="322" t="s">
        <v>847</v>
      </c>
      <c r="B10" s="403">
        <v>1120</v>
      </c>
      <c r="C10" s="404">
        <v>10</v>
      </c>
      <c r="D10" s="405">
        <f t="shared" ref="D10:D35" si="0">B10*C10</f>
        <v>11200</v>
      </c>
      <c r="E10" s="403">
        <f t="shared" ref="E10:F25" si="1">D10*1.04</f>
        <v>11648</v>
      </c>
      <c r="F10" s="403">
        <f t="shared" si="1"/>
        <v>12113.92</v>
      </c>
    </row>
    <row r="11" spans="1:6" s="102" customFormat="1" ht="45" x14ac:dyDescent="0.25">
      <c r="A11" s="322" t="s">
        <v>848</v>
      </c>
      <c r="B11" s="403">
        <v>1150</v>
      </c>
      <c r="C11" s="404">
        <v>10</v>
      </c>
      <c r="D11" s="405">
        <f t="shared" si="0"/>
        <v>11500</v>
      </c>
      <c r="E11" s="403">
        <f t="shared" si="1"/>
        <v>11960</v>
      </c>
      <c r="F11" s="403">
        <f t="shared" si="1"/>
        <v>12438.4</v>
      </c>
    </row>
    <row r="12" spans="1:6" s="102" customFormat="1" ht="30" x14ac:dyDescent="0.25">
      <c r="A12" s="322" t="s">
        <v>849</v>
      </c>
      <c r="B12" s="403">
        <v>760</v>
      </c>
      <c r="C12" s="404">
        <v>10</v>
      </c>
      <c r="D12" s="405">
        <f t="shared" si="0"/>
        <v>7600</v>
      </c>
      <c r="E12" s="403">
        <f t="shared" si="1"/>
        <v>7904</v>
      </c>
      <c r="F12" s="403">
        <f t="shared" si="1"/>
        <v>8220.16</v>
      </c>
    </row>
    <row r="13" spans="1:6" s="102" customFormat="1" ht="45" x14ac:dyDescent="0.25">
      <c r="A13" s="322" t="s">
        <v>850</v>
      </c>
      <c r="B13" s="403">
        <v>1080</v>
      </c>
      <c r="C13" s="404">
        <v>10</v>
      </c>
      <c r="D13" s="405">
        <f t="shared" si="0"/>
        <v>10800</v>
      </c>
      <c r="E13" s="403">
        <f t="shared" si="1"/>
        <v>11232</v>
      </c>
      <c r="F13" s="403">
        <f t="shared" si="1"/>
        <v>11681.28</v>
      </c>
    </row>
    <row r="14" spans="1:6" s="102" customFormat="1" ht="30" x14ac:dyDescent="0.25">
      <c r="A14" s="322" t="s">
        <v>851</v>
      </c>
      <c r="B14" s="403">
        <v>1060</v>
      </c>
      <c r="C14" s="404">
        <v>10</v>
      </c>
      <c r="D14" s="405">
        <f t="shared" si="0"/>
        <v>10600</v>
      </c>
      <c r="E14" s="403">
        <f t="shared" si="1"/>
        <v>11024</v>
      </c>
      <c r="F14" s="403">
        <f t="shared" si="1"/>
        <v>11464.960000000001</v>
      </c>
    </row>
    <row r="15" spans="1:6" s="102" customFormat="1" ht="30" x14ac:dyDescent="0.25">
      <c r="A15" s="322" t="s">
        <v>852</v>
      </c>
      <c r="B15" s="403">
        <v>570</v>
      </c>
      <c r="C15" s="404">
        <v>10</v>
      </c>
      <c r="D15" s="405">
        <f t="shared" si="0"/>
        <v>5700</v>
      </c>
      <c r="E15" s="403">
        <f t="shared" si="1"/>
        <v>5928</v>
      </c>
      <c r="F15" s="403">
        <f t="shared" si="1"/>
        <v>6165.12</v>
      </c>
    </row>
    <row r="16" spans="1:6" s="102" customFormat="1" ht="30" x14ac:dyDescent="0.25">
      <c r="A16" s="322" t="s">
        <v>853</v>
      </c>
      <c r="B16" s="403">
        <v>775</v>
      </c>
      <c r="C16" s="404">
        <v>10</v>
      </c>
      <c r="D16" s="405">
        <f t="shared" si="0"/>
        <v>7750</v>
      </c>
      <c r="E16" s="403">
        <f t="shared" si="1"/>
        <v>8060</v>
      </c>
      <c r="F16" s="403">
        <f t="shared" si="1"/>
        <v>8382.4</v>
      </c>
    </row>
    <row r="17" spans="1:6" s="102" customFormat="1" x14ac:dyDescent="0.25">
      <c r="A17" s="322" t="s">
        <v>854</v>
      </c>
      <c r="B17" s="403">
        <v>560</v>
      </c>
      <c r="C17" s="404">
        <v>5</v>
      </c>
      <c r="D17" s="405">
        <f t="shared" si="0"/>
        <v>2800</v>
      </c>
      <c r="E17" s="403">
        <f t="shared" si="1"/>
        <v>2912</v>
      </c>
      <c r="F17" s="403">
        <f t="shared" si="1"/>
        <v>3028.48</v>
      </c>
    </row>
    <row r="18" spans="1:6" s="102" customFormat="1" ht="30" x14ac:dyDescent="0.25">
      <c r="A18" s="322" t="s">
        <v>855</v>
      </c>
      <c r="B18" s="403">
        <v>570</v>
      </c>
      <c r="C18" s="404">
        <v>10</v>
      </c>
      <c r="D18" s="405">
        <f t="shared" si="0"/>
        <v>5700</v>
      </c>
      <c r="E18" s="403">
        <f t="shared" si="1"/>
        <v>5928</v>
      </c>
      <c r="F18" s="403">
        <f t="shared" si="1"/>
        <v>6165.12</v>
      </c>
    </row>
    <row r="19" spans="1:6" s="102" customFormat="1" ht="30" x14ac:dyDescent="0.25">
      <c r="A19" s="322" t="s">
        <v>856</v>
      </c>
      <c r="B19" s="400">
        <v>1040</v>
      </c>
      <c r="C19" s="400">
        <v>6</v>
      </c>
      <c r="D19" s="405">
        <f t="shared" si="0"/>
        <v>6240</v>
      </c>
      <c r="E19" s="403">
        <f t="shared" si="1"/>
        <v>6489.6</v>
      </c>
      <c r="F19" s="403">
        <f t="shared" si="1"/>
        <v>6749.1840000000002</v>
      </c>
    </row>
    <row r="20" spans="1:6" s="102" customFormat="1" ht="30" x14ac:dyDescent="0.25">
      <c r="A20" s="322" t="s">
        <v>857</v>
      </c>
      <c r="B20" s="403">
        <v>560</v>
      </c>
      <c r="C20" s="404">
        <v>6</v>
      </c>
      <c r="D20" s="405">
        <f t="shared" si="0"/>
        <v>3360</v>
      </c>
      <c r="E20" s="403">
        <f t="shared" si="1"/>
        <v>3494.4</v>
      </c>
      <c r="F20" s="403">
        <f t="shared" si="1"/>
        <v>3634.1760000000004</v>
      </c>
    </row>
    <row r="21" spans="1:6" s="102" customFormat="1" ht="45" x14ac:dyDescent="0.25">
      <c r="A21" s="413" t="s">
        <v>858</v>
      </c>
      <c r="B21" s="412">
        <v>650</v>
      </c>
      <c r="C21" s="412">
        <v>6</v>
      </c>
      <c r="D21" s="405">
        <f t="shared" si="0"/>
        <v>3900</v>
      </c>
      <c r="E21" s="403">
        <f t="shared" si="1"/>
        <v>4056</v>
      </c>
      <c r="F21" s="403">
        <f t="shared" si="1"/>
        <v>4218.24</v>
      </c>
    </row>
    <row r="22" spans="1:6" s="102" customFormat="1" ht="30" x14ac:dyDescent="0.25">
      <c r="A22" s="413" t="s">
        <v>859</v>
      </c>
      <c r="B22" s="412">
        <v>525</v>
      </c>
      <c r="C22" s="412">
        <v>6</v>
      </c>
      <c r="D22" s="405">
        <f t="shared" si="0"/>
        <v>3150</v>
      </c>
      <c r="E22" s="403">
        <f t="shared" si="1"/>
        <v>3276</v>
      </c>
      <c r="F22" s="403">
        <f t="shared" si="1"/>
        <v>3407.04</v>
      </c>
    </row>
    <row r="23" spans="1:6" s="102" customFormat="1" ht="30" x14ac:dyDescent="0.25">
      <c r="A23" s="413" t="s">
        <v>860</v>
      </c>
      <c r="B23" s="412">
        <v>525</v>
      </c>
      <c r="C23" s="412">
        <v>6</v>
      </c>
      <c r="D23" s="405">
        <f t="shared" si="0"/>
        <v>3150</v>
      </c>
      <c r="E23" s="403">
        <f t="shared" si="1"/>
        <v>3276</v>
      </c>
      <c r="F23" s="403">
        <f t="shared" si="1"/>
        <v>3407.04</v>
      </c>
    </row>
    <row r="24" spans="1:6" s="102" customFormat="1" ht="30" x14ac:dyDescent="0.25">
      <c r="A24" s="413" t="s">
        <v>861</v>
      </c>
      <c r="B24" s="412">
        <v>600</v>
      </c>
      <c r="C24" s="412">
        <v>6</v>
      </c>
      <c r="D24" s="405">
        <f t="shared" si="0"/>
        <v>3600</v>
      </c>
      <c r="E24" s="403">
        <f t="shared" si="1"/>
        <v>3744</v>
      </c>
      <c r="F24" s="403">
        <f t="shared" si="1"/>
        <v>3893.76</v>
      </c>
    </row>
    <row r="25" spans="1:6" s="102" customFormat="1" x14ac:dyDescent="0.25">
      <c r="A25" s="413" t="s">
        <v>862</v>
      </c>
      <c r="B25" s="412">
        <v>560</v>
      </c>
      <c r="C25" s="412">
        <v>6</v>
      </c>
      <c r="D25" s="405">
        <f t="shared" si="0"/>
        <v>3360</v>
      </c>
      <c r="E25" s="403">
        <f t="shared" si="1"/>
        <v>3494.4</v>
      </c>
      <c r="F25" s="403">
        <f t="shared" si="1"/>
        <v>3634.1760000000004</v>
      </c>
    </row>
    <row r="26" spans="1:6" s="102" customFormat="1" ht="30" x14ac:dyDescent="0.25">
      <c r="A26" s="413" t="s">
        <v>863</v>
      </c>
      <c r="B26" s="412">
        <v>560</v>
      </c>
      <c r="C26" s="412">
        <v>6</v>
      </c>
      <c r="D26" s="405">
        <f t="shared" si="0"/>
        <v>3360</v>
      </c>
      <c r="E26" s="403">
        <f t="shared" ref="E26:F35" si="2">D26*1.04</f>
        <v>3494.4</v>
      </c>
      <c r="F26" s="403">
        <f t="shared" si="2"/>
        <v>3634.1760000000004</v>
      </c>
    </row>
    <row r="27" spans="1:6" s="102" customFormat="1" ht="30" x14ac:dyDescent="0.25">
      <c r="A27" s="413" t="s">
        <v>864</v>
      </c>
      <c r="B27" s="412">
        <v>580</v>
      </c>
      <c r="C27" s="412">
        <v>6</v>
      </c>
      <c r="D27" s="405">
        <f t="shared" si="0"/>
        <v>3480</v>
      </c>
      <c r="E27" s="403">
        <f t="shared" si="2"/>
        <v>3619.2000000000003</v>
      </c>
      <c r="F27" s="403">
        <f t="shared" si="2"/>
        <v>3763.9680000000003</v>
      </c>
    </row>
    <row r="28" spans="1:6" s="102" customFormat="1" ht="30" x14ac:dyDescent="0.25">
      <c r="A28" s="413" t="s">
        <v>865</v>
      </c>
      <c r="B28" s="412">
        <v>650</v>
      </c>
      <c r="C28" s="412">
        <v>6</v>
      </c>
      <c r="D28" s="405">
        <f t="shared" si="0"/>
        <v>3900</v>
      </c>
      <c r="E28" s="403">
        <f t="shared" si="2"/>
        <v>4056</v>
      </c>
      <c r="F28" s="403">
        <f t="shared" si="2"/>
        <v>4218.24</v>
      </c>
    </row>
    <row r="29" spans="1:6" s="102" customFormat="1" ht="45" x14ac:dyDescent="0.25">
      <c r="A29" s="413" t="s">
        <v>866</v>
      </c>
      <c r="B29" s="412">
        <v>550</v>
      </c>
      <c r="C29" s="412">
        <v>6</v>
      </c>
      <c r="D29" s="405">
        <f t="shared" si="0"/>
        <v>3300</v>
      </c>
      <c r="E29" s="403">
        <f t="shared" si="2"/>
        <v>3432</v>
      </c>
      <c r="F29" s="403">
        <f t="shared" si="2"/>
        <v>3569.28</v>
      </c>
    </row>
    <row r="30" spans="1:6" s="102" customFormat="1" ht="30" x14ac:dyDescent="0.25">
      <c r="A30" s="413" t="s">
        <v>867</v>
      </c>
      <c r="B30" s="412">
        <v>725</v>
      </c>
      <c r="C30" s="412">
        <v>6</v>
      </c>
      <c r="D30" s="405">
        <f t="shared" si="0"/>
        <v>4350</v>
      </c>
      <c r="E30" s="403">
        <f t="shared" si="2"/>
        <v>4524</v>
      </c>
      <c r="F30" s="403">
        <f t="shared" si="2"/>
        <v>4704.96</v>
      </c>
    </row>
    <row r="31" spans="1:6" s="102" customFormat="1" ht="30" x14ac:dyDescent="0.25">
      <c r="A31" s="413" t="s">
        <v>868</v>
      </c>
      <c r="B31" s="412">
        <v>380</v>
      </c>
      <c r="C31" s="412">
        <v>6</v>
      </c>
      <c r="D31" s="405">
        <f t="shared" si="0"/>
        <v>2280</v>
      </c>
      <c r="E31" s="403">
        <f t="shared" si="2"/>
        <v>2371.2000000000003</v>
      </c>
      <c r="F31" s="403">
        <f t="shared" si="2"/>
        <v>2466.0480000000002</v>
      </c>
    </row>
    <row r="32" spans="1:6" s="102" customFormat="1" x14ac:dyDescent="0.25">
      <c r="A32" s="413" t="s">
        <v>869</v>
      </c>
      <c r="B32" s="412">
        <v>580</v>
      </c>
      <c r="C32" s="412">
        <v>6</v>
      </c>
      <c r="D32" s="405">
        <f t="shared" si="0"/>
        <v>3480</v>
      </c>
      <c r="E32" s="403">
        <f t="shared" si="2"/>
        <v>3619.2000000000003</v>
      </c>
      <c r="F32" s="403">
        <f t="shared" si="2"/>
        <v>3763.9680000000003</v>
      </c>
    </row>
    <row r="33" spans="1:6" s="102" customFormat="1" ht="45" x14ac:dyDescent="0.25">
      <c r="A33" s="413" t="s">
        <v>870</v>
      </c>
      <c r="B33" s="412">
        <v>580</v>
      </c>
      <c r="C33" s="412">
        <v>6</v>
      </c>
      <c r="D33" s="405">
        <f t="shared" si="0"/>
        <v>3480</v>
      </c>
      <c r="E33" s="403">
        <f t="shared" si="2"/>
        <v>3619.2000000000003</v>
      </c>
      <c r="F33" s="403">
        <f t="shared" si="2"/>
        <v>3763.9680000000003</v>
      </c>
    </row>
    <row r="34" spans="1:6" s="102" customFormat="1" ht="30" x14ac:dyDescent="0.25">
      <c r="A34" s="413" t="s">
        <v>871</v>
      </c>
      <c r="B34" s="412">
        <v>475</v>
      </c>
      <c r="C34" s="412">
        <v>1</v>
      </c>
      <c r="D34" s="405">
        <f t="shared" si="0"/>
        <v>475</v>
      </c>
      <c r="E34" s="403">
        <f t="shared" si="2"/>
        <v>494</v>
      </c>
      <c r="F34" s="403">
        <f t="shared" si="2"/>
        <v>513.76</v>
      </c>
    </row>
    <row r="35" spans="1:6" s="102" customFormat="1" ht="45" x14ac:dyDescent="0.25">
      <c r="A35" s="413" t="s">
        <v>872</v>
      </c>
      <c r="B35" s="412">
        <v>550</v>
      </c>
      <c r="C35" s="412">
        <v>6</v>
      </c>
      <c r="D35" s="405">
        <f t="shared" si="0"/>
        <v>3300</v>
      </c>
      <c r="E35" s="403">
        <f t="shared" si="2"/>
        <v>3432</v>
      </c>
      <c r="F35" s="403">
        <f t="shared" si="2"/>
        <v>3569.28</v>
      </c>
    </row>
    <row r="36" spans="1:6" s="102" customFormat="1" hidden="1" x14ac:dyDescent="0.25">
      <c r="A36" s="282"/>
      <c r="B36" s="104"/>
      <c r="C36" s="99"/>
      <c r="D36" s="105">
        <f t="shared" ref="D36:D44" si="3">B36*C36*1.042</f>
        <v>0</v>
      </c>
      <c r="E36" s="104"/>
      <c r="F36" s="104"/>
    </row>
    <row r="37" spans="1:6" s="102" customFormat="1" hidden="1" x14ac:dyDescent="0.25">
      <c r="A37" s="282"/>
      <c r="B37" s="104"/>
      <c r="C37" s="99"/>
      <c r="D37" s="105">
        <f t="shared" si="3"/>
        <v>0</v>
      </c>
      <c r="E37" s="104"/>
      <c r="F37" s="104"/>
    </row>
    <row r="38" spans="1:6" s="102" customFormat="1" hidden="1" x14ac:dyDescent="0.25">
      <c r="A38" s="282"/>
      <c r="B38" s="104"/>
      <c r="C38" s="99"/>
      <c r="D38" s="105">
        <f t="shared" si="3"/>
        <v>0</v>
      </c>
      <c r="E38" s="104"/>
      <c r="F38" s="104"/>
    </row>
    <row r="39" spans="1:6" s="102" customFormat="1" hidden="1" x14ac:dyDescent="0.25">
      <c r="A39" s="282"/>
      <c r="B39" s="104"/>
      <c r="C39" s="99"/>
      <c r="D39" s="105">
        <f t="shared" si="3"/>
        <v>0</v>
      </c>
      <c r="E39" s="104"/>
      <c r="F39" s="104"/>
    </row>
    <row r="40" spans="1:6" s="102" customFormat="1" hidden="1" x14ac:dyDescent="0.25">
      <c r="A40" s="282"/>
      <c r="B40" s="104"/>
      <c r="C40" s="99"/>
      <c r="D40" s="105">
        <f t="shared" si="3"/>
        <v>0</v>
      </c>
      <c r="E40" s="104"/>
      <c r="F40" s="104"/>
    </row>
    <row r="41" spans="1:6" s="102" customFormat="1" hidden="1" x14ac:dyDescent="0.25">
      <c r="A41" s="282"/>
      <c r="B41" s="104"/>
      <c r="C41" s="99"/>
      <c r="D41" s="105">
        <f t="shared" si="3"/>
        <v>0</v>
      </c>
      <c r="E41" s="104"/>
      <c r="F41" s="104"/>
    </row>
    <row r="42" spans="1:6" s="102" customFormat="1" hidden="1" x14ac:dyDescent="0.25">
      <c r="A42" s="282"/>
      <c r="B42" s="104"/>
      <c r="C42" s="99"/>
      <c r="D42" s="105">
        <f t="shared" si="3"/>
        <v>0</v>
      </c>
      <c r="E42" s="104"/>
      <c r="F42" s="104"/>
    </row>
    <row r="43" spans="1:6" s="102" customFormat="1" hidden="1" x14ac:dyDescent="0.25">
      <c r="A43" s="282"/>
      <c r="B43" s="104"/>
      <c r="C43" s="99"/>
      <c r="D43" s="105">
        <f t="shared" si="3"/>
        <v>0</v>
      </c>
      <c r="E43" s="104"/>
      <c r="F43" s="104"/>
    </row>
    <row r="44" spans="1:6" s="102" customFormat="1" hidden="1" x14ac:dyDescent="0.25">
      <c r="A44" s="282"/>
      <c r="B44" s="282"/>
      <c r="C44" s="282"/>
      <c r="D44" s="105">
        <f t="shared" si="3"/>
        <v>0</v>
      </c>
      <c r="E44" s="104"/>
      <c r="F44" s="104"/>
    </row>
    <row r="45" spans="1:6" s="102" customFormat="1" x14ac:dyDescent="0.25">
      <c r="A45" s="282" t="s">
        <v>4</v>
      </c>
      <c r="B45" s="104"/>
      <c r="C45" s="4">
        <f>SUM(C36:C44)</f>
        <v>0</v>
      </c>
      <c r="D45" s="407">
        <f>SUM(D9:D35)</f>
        <v>138915</v>
      </c>
      <c r="E45" s="407">
        <f t="shared" ref="E45:F45" si="4">SUM(E9:E35)</f>
        <v>144471.6</v>
      </c>
      <c r="F45" s="407">
        <f t="shared" si="4"/>
        <v>150250.46399999998</v>
      </c>
    </row>
  </sheetData>
  <mergeCells count="4">
    <mergeCell ref="A3:F3"/>
    <mergeCell ref="A4:F4"/>
    <mergeCell ref="A7:A8"/>
    <mergeCell ref="B7:F7"/>
  </mergeCells>
  <pageMargins left="0.7" right="0.7" top="0.75" bottom="0.75" header="0.3" footer="0.3"/>
  <pageSetup paperSize="9" scale="6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F14"/>
  <sheetViews>
    <sheetView view="pageBreakPreview" zoomScaleSheetLayoutView="100" workbookViewId="0">
      <selection activeCell="E11" sqref="E11:E13"/>
    </sheetView>
  </sheetViews>
  <sheetFormatPr defaultRowHeight="15" x14ac:dyDescent="0.25"/>
  <cols>
    <col min="1" max="1" width="32.28515625" customWidth="1"/>
    <col min="2" max="3" width="16.85546875" customWidth="1"/>
    <col min="4" max="4" width="19" customWidth="1"/>
    <col min="5" max="7" width="16.85546875" customWidth="1"/>
  </cols>
  <sheetData>
    <row r="3" spans="1:6" x14ac:dyDescent="0.25">
      <c r="A3" s="581" t="s">
        <v>10</v>
      </c>
      <c r="B3" s="581"/>
      <c r="C3" s="581"/>
      <c r="D3" s="581"/>
      <c r="E3" s="581"/>
      <c r="F3" s="581"/>
    </row>
    <row r="4" spans="1:6" x14ac:dyDescent="0.25">
      <c r="A4" s="616"/>
      <c r="B4" s="616"/>
      <c r="C4" s="616"/>
      <c r="D4" s="616"/>
      <c r="E4" s="616"/>
      <c r="F4" s="616"/>
    </row>
    <row r="5" spans="1:6" x14ac:dyDescent="0.25">
      <c r="A5" s="6"/>
      <c r="B5" s="6"/>
      <c r="C5" s="6"/>
      <c r="D5" s="6"/>
      <c r="E5" s="6"/>
      <c r="F5" s="6"/>
    </row>
    <row r="7" spans="1:6" x14ac:dyDescent="0.25">
      <c r="A7" s="593" t="s">
        <v>0</v>
      </c>
      <c r="B7" s="617" t="s">
        <v>198</v>
      </c>
      <c r="C7" s="593"/>
      <c r="D7" s="593"/>
      <c r="E7" s="593"/>
      <c r="F7" s="593"/>
    </row>
    <row r="8" spans="1:6" x14ac:dyDescent="0.25">
      <c r="A8" s="593"/>
      <c r="B8" s="1" t="s">
        <v>1</v>
      </c>
      <c r="C8" s="1" t="s">
        <v>2</v>
      </c>
      <c r="D8" s="2" t="s">
        <v>19</v>
      </c>
      <c r="E8" s="2" t="s">
        <v>3</v>
      </c>
      <c r="F8" s="2" t="s">
        <v>5</v>
      </c>
    </row>
    <row r="9" spans="1:6" s="102" customFormat="1" x14ac:dyDescent="0.25">
      <c r="A9" s="322"/>
      <c r="B9" s="104"/>
      <c r="C9" s="332"/>
      <c r="D9" s="105"/>
      <c r="E9" s="104"/>
      <c r="F9" s="104"/>
    </row>
    <row r="10" spans="1:6" s="102" customFormat="1" x14ac:dyDescent="0.25">
      <c r="A10" s="322"/>
      <c r="B10" s="104"/>
      <c r="C10" s="99"/>
      <c r="D10" s="105"/>
      <c r="E10" s="104"/>
      <c r="F10" s="104"/>
    </row>
    <row r="11" spans="1:6" s="102" customFormat="1" x14ac:dyDescent="0.25">
      <c r="A11" s="322"/>
      <c r="B11" s="104"/>
      <c r="C11" s="99"/>
      <c r="D11" s="105"/>
      <c r="E11" s="104"/>
      <c r="F11" s="104"/>
    </row>
    <row r="12" spans="1:6" s="102" customFormat="1" x14ac:dyDescent="0.25">
      <c r="A12" s="322"/>
      <c r="B12" s="104"/>
      <c r="C12" s="99"/>
      <c r="D12" s="105"/>
      <c r="E12" s="104"/>
      <c r="F12" s="104"/>
    </row>
    <row r="13" spans="1:6" s="102" customFormat="1" x14ac:dyDescent="0.25">
      <c r="A13" s="322"/>
      <c r="B13" s="104"/>
      <c r="C13" s="99"/>
      <c r="D13" s="105"/>
      <c r="E13" s="104"/>
      <c r="F13" s="104"/>
    </row>
    <row r="14" spans="1:6" x14ac:dyDescent="0.25">
      <c r="A14" s="107" t="s">
        <v>4</v>
      </c>
      <c r="B14" s="108"/>
      <c r="C14" s="109"/>
      <c r="D14" s="5">
        <f>SUM(D9:D13)</f>
        <v>0</v>
      </c>
      <c r="E14" s="5">
        <f t="shared" ref="E14:F14" si="0">E10+E11+E12+E13</f>
        <v>0</v>
      </c>
      <c r="F14" s="5">
        <f t="shared" si="0"/>
        <v>0</v>
      </c>
    </row>
  </sheetData>
  <mergeCells count="4">
    <mergeCell ref="A3:F3"/>
    <mergeCell ref="A4:F4"/>
    <mergeCell ref="A7:A8"/>
    <mergeCell ref="B7:F7"/>
  </mergeCells>
  <pageMargins left="0.7" right="0.7" top="0.75" bottom="0.75" header="0.3" footer="0.3"/>
  <pageSetup paperSize="9" scale="7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1"/>
  <sheetViews>
    <sheetView view="pageBreakPreview" topLeftCell="A16" zoomScaleSheetLayoutView="100" workbookViewId="0">
      <selection activeCell="C7" sqref="C7"/>
    </sheetView>
  </sheetViews>
  <sheetFormatPr defaultRowHeight="15" x14ac:dyDescent="0.25"/>
  <cols>
    <col min="1" max="1" width="29.7109375" customWidth="1"/>
    <col min="2" max="2" width="10.140625" customWidth="1"/>
    <col min="3" max="3" width="12.140625" customWidth="1"/>
    <col min="4" max="6" width="17.85546875" bestFit="1" customWidth="1"/>
    <col min="7" max="7" width="9.42578125" customWidth="1"/>
  </cols>
  <sheetData>
    <row r="1" spans="1:6" x14ac:dyDescent="0.25">
      <c r="A1" s="581" t="s">
        <v>8</v>
      </c>
      <c r="B1" s="581"/>
      <c r="C1" s="581"/>
      <c r="D1" s="581"/>
      <c r="E1" s="581"/>
      <c r="F1" s="581"/>
    </row>
    <row r="2" spans="1:6" x14ac:dyDescent="0.25">
      <c r="A2" s="616"/>
      <c r="B2" s="616"/>
      <c r="C2" s="616"/>
      <c r="D2" s="616"/>
      <c r="E2" s="616"/>
      <c r="F2" s="616"/>
    </row>
    <row r="3" spans="1:6" x14ac:dyDescent="0.25">
      <c r="A3" s="6"/>
      <c r="B3" s="6"/>
      <c r="C3" s="6"/>
      <c r="D3" s="6"/>
      <c r="E3" s="6"/>
      <c r="F3" s="6"/>
    </row>
    <row r="4" spans="1:6" ht="38.25" customHeight="1" x14ac:dyDescent="0.25">
      <c r="A4" s="593" t="s">
        <v>0</v>
      </c>
      <c r="B4" s="593" t="s">
        <v>6</v>
      </c>
      <c r="C4" s="593"/>
      <c r="D4" s="593"/>
      <c r="E4" s="593"/>
      <c r="F4" s="593"/>
    </row>
    <row r="5" spans="1:6" x14ac:dyDescent="0.25">
      <c r="A5" s="593"/>
      <c r="B5" s="1" t="s">
        <v>1</v>
      </c>
      <c r="C5" s="1" t="s">
        <v>2</v>
      </c>
      <c r="D5" s="2" t="s">
        <v>19</v>
      </c>
      <c r="E5" s="2" t="s">
        <v>3</v>
      </c>
      <c r="F5" s="2" t="s">
        <v>5</v>
      </c>
    </row>
    <row r="6" spans="1:6" s="102" customFormat="1" x14ac:dyDescent="0.25">
      <c r="A6" s="332" t="s">
        <v>729</v>
      </c>
      <c r="B6" s="104">
        <v>20</v>
      </c>
      <c r="C6" s="99">
        <v>25</v>
      </c>
      <c r="D6" s="105">
        <f>B6*C6</f>
        <v>500</v>
      </c>
      <c r="E6" s="104">
        <f>D6*1.04</f>
        <v>520</v>
      </c>
      <c r="F6" s="104">
        <f t="shared" ref="F6:F23" si="0">D6*1.04*1.04</f>
        <v>540.80000000000007</v>
      </c>
    </row>
    <row r="7" spans="1:6" s="102" customFormat="1" x14ac:dyDescent="0.25">
      <c r="A7" s="332" t="s">
        <v>740</v>
      </c>
      <c r="B7" s="104">
        <v>50</v>
      </c>
      <c r="C7" s="99">
        <v>20</v>
      </c>
      <c r="D7" s="105">
        <f t="shared" ref="D7:D38" si="1">B7*C7</f>
        <v>1000</v>
      </c>
      <c r="E7" s="104">
        <f t="shared" ref="E7:E22" si="2">D7*1.04</f>
        <v>1040</v>
      </c>
      <c r="F7" s="104">
        <f t="shared" si="0"/>
        <v>1081.6000000000001</v>
      </c>
    </row>
    <row r="8" spans="1:6" s="102" customFormat="1" x14ac:dyDescent="0.25">
      <c r="A8" s="332" t="s">
        <v>731</v>
      </c>
      <c r="B8" s="104">
        <v>25</v>
      </c>
      <c r="C8" s="99">
        <v>5</v>
      </c>
      <c r="D8" s="105">
        <f t="shared" si="1"/>
        <v>125</v>
      </c>
      <c r="E8" s="104">
        <f t="shared" si="2"/>
        <v>130</v>
      </c>
      <c r="F8" s="104">
        <f t="shared" si="0"/>
        <v>135.20000000000002</v>
      </c>
    </row>
    <row r="9" spans="1:6" s="102" customFormat="1" x14ac:dyDescent="0.25">
      <c r="A9" s="332" t="s">
        <v>730</v>
      </c>
      <c r="B9" s="104">
        <v>25</v>
      </c>
      <c r="C9" s="99">
        <v>5</v>
      </c>
      <c r="D9" s="105">
        <f t="shared" si="1"/>
        <v>125</v>
      </c>
      <c r="E9" s="104">
        <f t="shared" si="2"/>
        <v>130</v>
      </c>
      <c r="F9" s="104">
        <f t="shared" si="0"/>
        <v>135.20000000000002</v>
      </c>
    </row>
    <row r="10" spans="1:6" s="102" customFormat="1" x14ac:dyDescent="0.25">
      <c r="A10" s="332" t="s">
        <v>732</v>
      </c>
      <c r="B10" s="104">
        <v>50</v>
      </c>
      <c r="C10" s="99">
        <v>5</v>
      </c>
      <c r="D10" s="105">
        <f t="shared" si="1"/>
        <v>250</v>
      </c>
      <c r="E10" s="104">
        <f t="shared" si="2"/>
        <v>260</v>
      </c>
      <c r="F10" s="104">
        <f t="shared" si="0"/>
        <v>270.40000000000003</v>
      </c>
    </row>
    <row r="11" spans="1:6" s="102" customFormat="1" x14ac:dyDescent="0.25">
      <c r="A11" s="332" t="s">
        <v>741</v>
      </c>
      <c r="B11" s="104">
        <v>30</v>
      </c>
      <c r="C11" s="99">
        <v>5</v>
      </c>
      <c r="D11" s="105">
        <f t="shared" si="1"/>
        <v>150</v>
      </c>
      <c r="E11" s="104">
        <f t="shared" si="2"/>
        <v>156</v>
      </c>
      <c r="F11" s="104">
        <f t="shared" si="0"/>
        <v>162.24</v>
      </c>
    </row>
    <row r="12" spans="1:6" s="102" customFormat="1" x14ac:dyDescent="0.25">
      <c r="A12" s="332" t="s">
        <v>742</v>
      </c>
      <c r="B12" s="104">
        <v>200</v>
      </c>
      <c r="C12" s="99">
        <v>2</v>
      </c>
      <c r="D12" s="105">
        <f t="shared" si="1"/>
        <v>400</v>
      </c>
      <c r="E12" s="104">
        <f t="shared" si="2"/>
        <v>416</v>
      </c>
      <c r="F12" s="104">
        <f t="shared" si="0"/>
        <v>432.64</v>
      </c>
    </row>
    <row r="13" spans="1:6" s="102" customFormat="1" x14ac:dyDescent="0.25">
      <c r="A13" s="332" t="s">
        <v>743</v>
      </c>
      <c r="B13" s="104">
        <v>80</v>
      </c>
      <c r="C13" s="99">
        <v>10</v>
      </c>
      <c r="D13" s="105">
        <f t="shared" si="1"/>
        <v>800</v>
      </c>
      <c r="E13" s="104">
        <f t="shared" si="2"/>
        <v>832</v>
      </c>
      <c r="F13" s="104">
        <f t="shared" si="0"/>
        <v>865.28</v>
      </c>
    </row>
    <row r="14" spans="1:6" s="102" customFormat="1" x14ac:dyDescent="0.25">
      <c r="A14" s="332" t="s">
        <v>744</v>
      </c>
      <c r="B14" s="104">
        <v>50</v>
      </c>
      <c r="C14" s="99">
        <v>10</v>
      </c>
      <c r="D14" s="105">
        <f t="shared" si="1"/>
        <v>500</v>
      </c>
      <c r="E14" s="104">
        <f t="shared" si="2"/>
        <v>520</v>
      </c>
      <c r="F14" s="104">
        <f t="shared" si="0"/>
        <v>540.80000000000007</v>
      </c>
    </row>
    <row r="15" spans="1:6" s="102" customFormat="1" x14ac:dyDescent="0.25">
      <c r="A15" s="332" t="s">
        <v>745</v>
      </c>
      <c r="B15" s="104">
        <v>200</v>
      </c>
      <c r="C15" s="99">
        <v>5</v>
      </c>
      <c r="D15" s="105">
        <f t="shared" si="1"/>
        <v>1000</v>
      </c>
      <c r="E15" s="104">
        <f t="shared" si="2"/>
        <v>1040</v>
      </c>
      <c r="F15" s="104">
        <f t="shared" si="0"/>
        <v>1081.6000000000001</v>
      </c>
    </row>
    <row r="16" spans="1:6" s="102" customFormat="1" x14ac:dyDescent="0.25">
      <c r="A16" s="332" t="s">
        <v>746</v>
      </c>
      <c r="B16" s="104">
        <v>150</v>
      </c>
      <c r="C16" s="99">
        <v>5</v>
      </c>
      <c r="D16" s="105">
        <f t="shared" si="1"/>
        <v>750</v>
      </c>
      <c r="E16" s="104">
        <f t="shared" si="2"/>
        <v>780</v>
      </c>
      <c r="F16" s="104">
        <f t="shared" si="0"/>
        <v>811.2</v>
      </c>
    </row>
    <row r="17" spans="1:6" s="102" customFormat="1" x14ac:dyDescent="0.25">
      <c r="A17" s="332" t="s">
        <v>747</v>
      </c>
      <c r="B17" s="104">
        <v>40</v>
      </c>
      <c r="C17" s="99">
        <v>5</v>
      </c>
      <c r="D17" s="105">
        <f t="shared" si="1"/>
        <v>200</v>
      </c>
      <c r="E17" s="104">
        <f t="shared" si="2"/>
        <v>208</v>
      </c>
      <c r="F17" s="104">
        <f t="shared" si="0"/>
        <v>216.32</v>
      </c>
    </row>
    <row r="18" spans="1:6" s="102" customFormat="1" x14ac:dyDescent="0.25">
      <c r="A18" s="332" t="s">
        <v>748</v>
      </c>
      <c r="B18" s="104">
        <v>40</v>
      </c>
      <c r="C18" s="99">
        <v>10</v>
      </c>
      <c r="D18" s="105">
        <f t="shared" si="1"/>
        <v>400</v>
      </c>
      <c r="E18" s="104">
        <f t="shared" si="2"/>
        <v>416</v>
      </c>
      <c r="F18" s="104">
        <f t="shared" si="0"/>
        <v>432.64</v>
      </c>
    </row>
    <row r="19" spans="1:6" s="102" customFormat="1" x14ac:dyDescent="0.25">
      <c r="A19" s="332" t="s">
        <v>749</v>
      </c>
      <c r="B19" s="104">
        <v>200</v>
      </c>
      <c r="C19" s="99">
        <v>2</v>
      </c>
      <c r="D19" s="105">
        <f t="shared" si="1"/>
        <v>400</v>
      </c>
      <c r="E19" s="104">
        <f t="shared" si="2"/>
        <v>416</v>
      </c>
      <c r="F19" s="104">
        <f t="shared" si="0"/>
        <v>432.64</v>
      </c>
    </row>
    <row r="20" spans="1:6" s="102" customFormat="1" x14ac:dyDescent="0.25">
      <c r="A20" s="332" t="s">
        <v>750</v>
      </c>
      <c r="B20" s="104">
        <v>100</v>
      </c>
      <c r="C20" s="99">
        <v>1</v>
      </c>
      <c r="D20" s="105">
        <f t="shared" si="1"/>
        <v>100</v>
      </c>
      <c r="E20" s="104">
        <f t="shared" si="2"/>
        <v>104</v>
      </c>
      <c r="F20" s="104">
        <f t="shared" si="0"/>
        <v>108.16</v>
      </c>
    </row>
    <row r="21" spans="1:6" s="102" customFormat="1" x14ac:dyDescent="0.25">
      <c r="A21" s="332" t="s">
        <v>751</v>
      </c>
      <c r="B21" s="104">
        <v>250</v>
      </c>
      <c r="C21" s="99">
        <v>5</v>
      </c>
      <c r="D21" s="105">
        <f t="shared" si="1"/>
        <v>1250</v>
      </c>
      <c r="E21" s="104">
        <f t="shared" si="2"/>
        <v>1300</v>
      </c>
      <c r="F21" s="104">
        <f t="shared" si="0"/>
        <v>1352</v>
      </c>
    </row>
    <row r="22" spans="1:6" s="102" customFormat="1" x14ac:dyDescent="0.25">
      <c r="A22" s="332" t="s">
        <v>752</v>
      </c>
      <c r="B22" s="104">
        <v>250</v>
      </c>
      <c r="C22" s="99">
        <v>5</v>
      </c>
      <c r="D22" s="105">
        <f t="shared" si="1"/>
        <v>1250</v>
      </c>
      <c r="E22" s="104">
        <f t="shared" si="2"/>
        <v>1300</v>
      </c>
      <c r="F22" s="104">
        <f t="shared" si="0"/>
        <v>1352</v>
      </c>
    </row>
    <row r="23" spans="1:6" s="102" customFormat="1" x14ac:dyDescent="0.25">
      <c r="A23" s="332" t="s">
        <v>753</v>
      </c>
      <c r="B23" s="104">
        <v>150</v>
      </c>
      <c r="C23" s="99">
        <v>1</v>
      </c>
      <c r="D23" s="105">
        <f t="shared" si="1"/>
        <v>150</v>
      </c>
      <c r="E23" s="104">
        <v>0</v>
      </c>
      <c r="F23" s="104">
        <f t="shared" si="0"/>
        <v>162.24</v>
      </c>
    </row>
    <row r="24" spans="1:6" s="102" customFormat="1" ht="30" x14ac:dyDescent="0.25">
      <c r="A24" s="332" t="s">
        <v>754</v>
      </c>
      <c r="B24" s="104">
        <v>300</v>
      </c>
      <c r="C24" s="99">
        <v>3</v>
      </c>
      <c r="D24" s="105">
        <f t="shared" si="1"/>
        <v>900</v>
      </c>
      <c r="E24" s="104">
        <v>0</v>
      </c>
      <c r="F24" s="104">
        <f>D24*1.04*1.04</f>
        <v>973.44</v>
      </c>
    </row>
    <row r="25" spans="1:6" s="102" customFormat="1" x14ac:dyDescent="0.25">
      <c r="A25" s="332" t="s">
        <v>755</v>
      </c>
      <c r="B25" s="104">
        <v>500</v>
      </c>
      <c r="C25" s="99">
        <v>0</v>
      </c>
      <c r="D25" s="105">
        <f t="shared" si="1"/>
        <v>0</v>
      </c>
      <c r="E25" s="104">
        <f t="shared" ref="E25:E38" si="3">D25*1.04</f>
        <v>0</v>
      </c>
      <c r="F25" s="104">
        <f t="shared" ref="F25:F38" si="4">D25*1.04*1.04</f>
        <v>0</v>
      </c>
    </row>
    <row r="26" spans="1:6" s="102" customFormat="1" x14ac:dyDescent="0.25">
      <c r="A26" s="332" t="s">
        <v>756</v>
      </c>
      <c r="B26" s="104">
        <v>70</v>
      </c>
      <c r="C26" s="99">
        <v>10</v>
      </c>
      <c r="D26" s="105">
        <f t="shared" si="1"/>
        <v>700</v>
      </c>
      <c r="E26" s="104">
        <f t="shared" si="3"/>
        <v>728</v>
      </c>
      <c r="F26" s="104">
        <f t="shared" si="4"/>
        <v>757.12</v>
      </c>
    </row>
    <row r="27" spans="1:6" s="102" customFormat="1" x14ac:dyDescent="0.25">
      <c r="A27" s="332" t="s">
        <v>757</v>
      </c>
      <c r="B27" s="104">
        <v>20</v>
      </c>
      <c r="C27" s="99">
        <v>2</v>
      </c>
      <c r="D27" s="105">
        <f t="shared" si="1"/>
        <v>40</v>
      </c>
      <c r="E27" s="104">
        <f t="shared" si="3"/>
        <v>41.6</v>
      </c>
      <c r="F27" s="104">
        <f t="shared" si="4"/>
        <v>43.264000000000003</v>
      </c>
    </row>
    <row r="28" spans="1:6" s="102" customFormat="1" x14ac:dyDescent="0.25">
      <c r="A28" s="332" t="s">
        <v>758</v>
      </c>
      <c r="B28" s="104">
        <v>200</v>
      </c>
      <c r="C28" s="99">
        <v>5</v>
      </c>
      <c r="D28" s="105">
        <f t="shared" si="1"/>
        <v>1000</v>
      </c>
      <c r="E28" s="104">
        <f t="shared" si="3"/>
        <v>1040</v>
      </c>
      <c r="F28" s="104">
        <f t="shared" si="4"/>
        <v>1081.6000000000001</v>
      </c>
    </row>
    <row r="29" spans="1:6" s="102" customFormat="1" x14ac:dyDescent="0.25">
      <c r="A29" s="332" t="s">
        <v>759</v>
      </c>
      <c r="B29" s="104">
        <v>100</v>
      </c>
      <c r="C29" s="99">
        <v>1</v>
      </c>
      <c r="D29" s="105">
        <f t="shared" si="1"/>
        <v>100</v>
      </c>
      <c r="E29" s="104">
        <f t="shared" si="3"/>
        <v>104</v>
      </c>
      <c r="F29" s="104">
        <f t="shared" si="4"/>
        <v>108.16</v>
      </c>
    </row>
    <row r="30" spans="1:6" s="102" customFormat="1" ht="30" x14ac:dyDescent="0.25">
      <c r="A30" s="332" t="s">
        <v>760</v>
      </c>
      <c r="B30" s="104">
        <v>120</v>
      </c>
      <c r="C30" s="99">
        <v>5</v>
      </c>
      <c r="D30" s="105">
        <f t="shared" si="1"/>
        <v>600</v>
      </c>
      <c r="E30" s="104">
        <f t="shared" si="3"/>
        <v>624</v>
      </c>
      <c r="F30" s="104">
        <f t="shared" si="4"/>
        <v>648.96</v>
      </c>
    </row>
    <row r="31" spans="1:6" s="102" customFormat="1" x14ac:dyDescent="0.25">
      <c r="A31" s="332" t="s">
        <v>761</v>
      </c>
      <c r="B31" s="104">
        <v>150</v>
      </c>
      <c r="C31" s="99">
        <v>5</v>
      </c>
      <c r="D31" s="105">
        <f t="shared" si="1"/>
        <v>750</v>
      </c>
      <c r="E31" s="104">
        <f t="shared" si="3"/>
        <v>780</v>
      </c>
      <c r="F31" s="104">
        <f t="shared" si="4"/>
        <v>811.2</v>
      </c>
    </row>
    <row r="32" spans="1:6" s="102" customFormat="1" x14ac:dyDescent="0.25">
      <c r="A32" s="332" t="s">
        <v>762</v>
      </c>
      <c r="B32" s="104">
        <v>20</v>
      </c>
      <c r="C32" s="99">
        <v>2</v>
      </c>
      <c r="D32" s="105">
        <f t="shared" si="1"/>
        <v>40</v>
      </c>
      <c r="E32" s="104">
        <f t="shared" si="3"/>
        <v>41.6</v>
      </c>
      <c r="F32" s="104">
        <f t="shared" si="4"/>
        <v>43.264000000000003</v>
      </c>
    </row>
    <row r="33" spans="1:6" s="102" customFormat="1" x14ac:dyDescent="0.25">
      <c r="A33" s="332" t="s">
        <v>763</v>
      </c>
      <c r="B33" s="104">
        <v>20</v>
      </c>
      <c r="C33" s="99">
        <v>5</v>
      </c>
      <c r="D33" s="105">
        <f t="shared" si="1"/>
        <v>100</v>
      </c>
      <c r="E33" s="104">
        <f t="shared" si="3"/>
        <v>104</v>
      </c>
      <c r="F33" s="104">
        <f t="shared" si="4"/>
        <v>108.16</v>
      </c>
    </row>
    <row r="34" spans="1:6" s="102" customFormat="1" x14ac:dyDescent="0.25">
      <c r="A34" s="332" t="s">
        <v>764</v>
      </c>
      <c r="B34" s="104">
        <v>250</v>
      </c>
      <c r="C34" s="99">
        <v>1</v>
      </c>
      <c r="D34" s="105">
        <f t="shared" si="1"/>
        <v>250</v>
      </c>
      <c r="E34" s="104">
        <f t="shared" si="3"/>
        <v>260</v>
      </c>
      <c r="F34" s="104">
        <f t="shared" si="4"/>
        <v>270.40000000000003</v>
      </c>
    </row>
    <row r="35" spans="1:6" s="102" customFormat="1" x14ac:dyDescent="0.25">
      <c r="A35" s="332" t="s">
        <v>765</v>
      </c>
      <c r="B35" s="104">
        <v>25</v>
      </c>
      <c r="C35" s="99">
        <v>2</v>
      </c>
      <c r="D35" s="105">
        <f t="shared" si="1"/>
        <v>50</v>
      </c>
      <c r="E35" s="104">
        <f t="shared" si="3"/>
        <v>52</v>
      </c>
      <c r="F35" s="104">
        <f t="shared" si="4"/>
        <v>54.08</v>
      </c>
    </row>
    <row r="36" spans="1:6" s="102" customFormat="1" x14ac:dyDescent="0.25">
      <c r="A36" s="332" t="s">
        <v>766</v>
      </c>
      <c r="B36" s="104">
        <v>20</v>
      </c>
      <c r="C36" s="99">
        <v>0</v>
      </c>
      <c r="D36" s="105">
        <f t="shared" si="1"/>
        <v>0</v>
      </c>
      <c r="E36" s="104">
        <f t="shared" si="3"/>
        <v>0</v>
      </c>
      <c r="F36" s="104">
        <f t="shared" si="4"/>
        <v>0</v>
      </c>
    </row>
    <row r="37" spans="1:6" s="102" customFormat="1" x14ac:dyDescent="0.25">
      <c r="A37" s="332"/>
      <c r="B37" s="104"/>
      <c r="C37" s="99"/>
      <c r="D37" s="105">
        <f t="shared" si="1"/>
        <v>0</v>
      </c>
      <c r="E37" s="104">
        <f t="shared" si="3"/>
        <v>0</v>
      </c>
      <c r="F37" s="104">
        <f t="shared" si="4"/>
        <v>0</v>
      </c>
    </row>
    <row r="38" spans="1:6" s="102" customFormat="1" x14ac:dyDescent="0.25">
      <c r="A38" s="332"/>
      <c r="B38" s="332"/>
      <c r="C38" s="332"/>
      <c r="D38" s="105">
        <f t="shared" si="1"/>
        <v>0</v>
      </c>
      <c r="E38" s="104">
        <f t="shared" si="3"/>
        <v>0</v>
      </c>
      <c r="F38" s="104">
        <f t="shared" si="4"/>
        <v>0</v>
      </c>
    </row>
    <row r="39" spans="1:6" x14ac:dyDescent="0.25">
      <c r="A39" s="1" t="s">
        <v>4</v>
      </c>
      <c r="B39" s="3"/>
      <c r="C39" s="4"/>
      <c r="D39" s="5">
        <f>SUM(D6:D38)</f>
        <v>13880</v>
      </c>
      <c r="E39" s="5">
        <f t="shared" ref="E39:F39" si="5">SUM(E6:E38)</f>
        <v>13343.2</v>
      </c>
      <c r="F39" s="5">
        <f t="shared" si="5"/>
        <v>15012.608</v>
      </c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</sheetData>
  <mergeCells count="4">
    <mergeCell ref="A4:A5"/>
    <mergeCell ref="B4:F4"/>
    <mergeCell ref="A1:F1"/>
    <mergeCell ref="A2:F2"/>
  </mergeCells>
  <pageMargins left="0.7" right="0.7" top="0.75" bottom="0.75" header="0.3" footer="0.3"/>
  <pageSetup paperSize="9" scale="8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view="pageBreakPreview" zoomScaleSheetLayoutView="100" workbookViewId="0">
      <selection activeCell="C17" sqref="C17"/>
    </sheetView>
  </sheetViews>
  <sheetFormatPr defaultRowHeight="15" x14ac:dyDescent="0.25"/>
  <cols>
    <col min="1" max="1" width="29.7109375" style="102" customWidth="1"/>
    <col min="2" max="2" width="10.140625" style="102" customWidth="1"/>
    <col min="3" max="3" width="12.140625" style="102" customWidth="1"/>
    <col min="4" max="6" width="17.85546875" style="102" bestFit="1" customWidth="1"/>
    <col min="7" max="7" width="9.42578125" style="102" customWidth="1"/>
    <col min="8" max="16384" width="9.140625" style="102"/>
  </cols>
  <sheetData>
    <row r="1" spans="1:6" ht="29.25" customHeight="1" x14ac:dyDescent="0.25">
      <c r="A1" s="581" t="s">
        <v>9</v>
      </c>
      <c r="B1" s="581"/>
      <c r="C1" s="581"/>
      <c r="D1" s="581"/>
      <c r="E1" s="581"/>
      <c r="F1" s="581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593" t="s">
        <v>0</v>
      </c>
      <c r="B4" s="593" t="s">
        <v>877</v>
      </c>
      <c r="C4" s="593"/>
      <c r="D4" s="593"/>
      <c r="E4" s="593"/>
      <c r="F4" s="593"/>
    </row>
    <row r="5" spans="1:6" x14ac:dyDescent="0.25">
      <c r="A5" s="593"/>
      <c r="B5" s="365" t="s">
        <v>1</v>
      </c>
      <c r="C5" s="365" t="s">
        <v>2</v>
      </c>
      <c r="D5" s="2" t="s">
        <v>19</v>
      </c>
      <c r="E5" s="2" t="s">
        <v>3</v>
      </c>
      <c r="F5" s="2" t="s">
        <v>5</v>
      </c>
    </row>
    <row r="6" spans="1:6" ht="30" x14ac:dyDescent="0.25">
      <c r="A6" s="322" t="s">
        <v>878</v>
      </c>
      <c r="B6" s="104">
        <v>58.67</v>
      </c>
      <c r="C6" s="99">
        <v>500</v>
      </c>
      <c r="D6" s="105">
        <f>B6*C6*1.037</f>
        <v>30420.394999999997</v>
      </c>
      <c r="E6" s="104">
        <f>D6*1.04</f>
        <v>31637.210799999997</v>
      </c>
      <c r="F6" s="104">
        <f>E6*1.04</f>
        <v>32902.699231999999</v>
      </c>
    </row>
    <row r="7" spans="1:6" x14ac:dyDescent="0.25">
      <c r="A7" s="322" t="s">
        <v>879</v>
      </c>
      <c r="B7" s="104">
        <v>500</v>
      </c>
      <c r="C7" s="99">
        <v>15</v>
      </c>
      <c r="D7" s="105">
        <f>B7*C7*1.037</f>
        <v>7777.4999999999991</v>
      </c>
      <c r="E7" s="104">
        <f>D7*1.04</f>
        <v>8088.5999999999995</v>
      </c>
      <c r="F7" s="104">
        <f>E7*1.04</f>
        <v>8412.1440000000002</v>
      </c>
    </row>
    <row r="8" spans="1:6" hidden="1" x14ac:dyDescent="0.25">
      <c r="A8" s="365"/>
      <c r="B8" s="104"/>
      <c r="C8" s="99"/>
      <c r="D8" s="105">
        <f t="shared" ref="D8:D16" si="0">B8*C8*1.042</f>
        <v>0</v>
      </c>
      <c r="E8" s="104"/>
      <c r="F8" s="104"/>
    </row>
    <row r="9" spans="1:6" hidden="1" x14ac:dyDescent="0.25">
      <c r="A9" s="365"/>
      <c r="B9" s="104"/>
      <c r="C9" s="99"/>
      <c r="D9" s="105">
        <f t="shared" si="0"/>
        <v>0</v>
      </c>
      <c r="E9" s="104"/>
      <c r="F9" s="104"/>
    </row>
    <row r="10" spans="1:6" hidden="1" x14ac:dyDescent="0.25">
      <c r="A10" s="365"/>
      <c r="B10" s="104"/>
      <c r="C10" s="99"/>
      <c r="D10" s="105">
        <f t="shared" si="0"/>
        <v>0</v>
      </c>
      <c r="E10" s="104"/>
      <c r="F10" s="104"/>
    </row>
    <row r="11" spans="1:6" hidden="1" x14ac:dyDescent="0.25">
      <c r="A11" s="365"/>
      <c r="B11" s="104"/>
      <c r="C11" s="99"/>
      <c r="D11" s="105">
        <f t="shared" si="0"/>
        <v>0</v>
      </c>
      <c r="E11" s="104"/>
      <c r="F11" s="104"/>
    </row>
    <row r="12" spans="1:6" hidden="1" x14ac:dyDescent="0.25">
      <c r="A12" s="365"/>
      <c r="B12" s="104"/>
      <c r="C12" s="99"/>
      <c r="D12" s="105">
        <f t="shared" si="0"/>
        <v>0</v>
      </c>
      <c r="E12" s="104"/>
      <c r="F12" s="104"/>
    </row>
    <row r="13" spans="1:6" hidden="1" x14ac:dyDescent="0.25">
      <c r="A13" s="365"/>
      <c r="B13" s="104"/>
      <c r="C13" s="99"/>
      <c r="D13" s="105">
        <f t="shared" si="0"/>
        <v>0</v>
      </c>
      <c r="E13" s="104"/>
      <c r="F13" s="104"/>
    </row>
    <row r="14" spans="1:6" hidden="1" x14ac:dyDescent="0.25">
      <c r="A14" s="365"/>
      <c r="B14" s="104"/>
      <c r="C14" s="99"/>
      <c r="D14" s="105">
        <f t="shared" si="0"/>
        <v>0</v>
      </c>
      <c r="E14" s="104"/>
      <c r="F14" s="104"/>
    </row>
    <row r="15" spans="1:6" hidden="1" x14ac:dyDescent="0.25">
      <c r="A15" s="365"/>
      <c r="B15" s="104"/>
      <c r="C15" s="99"/>
      <c r="D15" s="105">
        <f t="shared" si="0"/>
        <v>0</v>
      </c>
      <c r="E15" s="104"/>
      <c r="F15" s="104"/>
    </row>
    <row r="16" spans="1:6" hidden="1" x14ac:dyDescent="0.25">
      <c r="A16" s="365"/>
      <c r="B16" s="365"/>
      <c r="C16" s="365"/>
      <c r="D16" s="105">
        <f t="shared" si="0"/>
        <v>0</v>
      </c>
      <c r="E16" s="104"/>
      <c r="F16" s="104"/>
    </row>
    <row r="17" spans="1:6" x14ac:dyDescent="0.25">
      <c r="A17" s="365" t="s">
        <v>4</v>
      </c>
      <c r="B17" s="104"/>
      <c r="C17" s="4">
        <f>SUM(C6:C16)</f>
        <v>515</v>
      </c>
      <c r="D17" s="5">
        <f t="shared" ref="D17:F17" si="1">SUM(D6:D16)</f>
        <v>38197.894999999997</v>
      </c>
      <c r="E17" s="5">
        <f t="shared" si="1"/>
        <v>39725.810799999999</v>
      </c>
      <c r="F17" s="5">
        <f t="shared" si="1"/>
        <v>41314.843231999999</v>
      </c>
    </row>
  </sheetData>
  <mergeCells count="3">
    <mergeCell ref="A1:F1"/>
    <mergeCell ref="A4:A5"/>
    <mergeCell ref="B4:F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3" zoomScaleSheetLayoutView="100" workbookViewId="0">
      <selection activeCell="E32" sqref="E32"/>
    </sheetView>
  </sheetViews>
  <sheetFormatPr defaultRowHeight="15" x14ac:dyDescent="0.25"/>
  <cols>
    <col min="1" max="1" width="31.5703125" style="102" customWidth="1"/>
    <col min="2" max="3" width="9.140625" style="102"/>
    <col min="4" max="6" width="17.85546875" style="102" bestFit="1" customWidth="1"/>
    <col min="7" max="16384" width="9.140625" style="102"/>
  </cols>
  <sheetData>
    <row r="1" spans="1:7" x14ac:dyDescent="0.25">
      <c r="A1" s="618" t="s">
        <v>35</v>
      </c>
      <c r="B1" s="618"/>
      <c r="C1" s="618"/>
      <c r="D1" s="618"/>
      <c r="E1" s="618"/>
      <c r="F1" s="618"/>
    </row>
    <row r="2" spans="1:7" x14ac:dyDescent="0.25">
      <c r="A2" s="306"/>
      <c r="B2" s="306"/>
      <c r="C2" s="306"/>
      <c r="D2" s="306"/>
      <c r="E2" s="306"/>
      <c r="F2" s="306"/>
    </row>
    <row r="3" spans="1:7" x14ac:dyDescent="0.25">
      <c r="A3" s="6"/>
      <c r="B3" s="6"/>
      <c r="C3" s="6"/>
      <c r="D3" s="6"/>
      <c r="E3" s="6"/>
      <c r="F3" s="6"/>
    </row>
    <row r="4" spans="1:7" x14ac:dyDescent="0.25">
      <c r="A4" s="581" t="s">
        <v>33</v>
      </c>
      <c r="B4" s="581"/>
      <c r="C4" s="581"/>
      <c r="D4" s="581"/>
      <c r="E4" s="581"/>
      <c r="F4" s="581"/>
    </row>
    <row r="5" spans="1:7" ht="42" hidden="1" customHeight="1" x14ac:dyDescent="0.25">
      <c r="A5" s="616"/>
      <c r="B5" s="616"/>
      <c r="C5" s="616"/>
      <c r="D5" s="616"/>
      <c r="E5" s="616"/>
      <c r="F5" s="616"/>
    </row>
    <row r="6" spans="1:7" x14ac:dyDescent="0.25">
      <c r="A6" s="6"/>
      <c r="B6" s="6"/>
      <c r="C6" s="6"/>
      <c r="D6" s="6"/>
      <c r="E6" s="6"/>
      <c r="F6" s="6"/>
    </row>
    <row r="7" spans="1:7" x14ac:dyDescent="0.25">
      <c r="A7" s="593" t="s">
        <v>0</v>
      </c>
      <c r="B7" s="617" t="s">
        <v>34</v>
      </c>
      <c r="C7" s="593"/>
      <c r="D7" s="593"/>
      <c r="E7" s="593"/>
      <c r="F7" s="593"/>
    </row>
    <row r="8" spans="1:7" ht="30" x14ac:dyDescent="0.25">
      <c r="A8" s="593"/>
      <c r="B8" s="305" t="s">
        <v>1</v>
      </c>
      <c r="C8" s="305" t="s">
        <v>2</v>
      </c>
      <c r="D8" s="2" t="s">
        <v>19</v>
      </c>
      <c r="E8" s="2" t="s">
        <v>3</v>
      </c>
      <c r="F8" s="2" t="s">
        <v>5</v>
      </c>
    </row>
    <row r="9" spans="1:7" x14ac:dyDescent="0.25">
      <c r="A9" s="322" t="s">
        <v>873</v>
      </c>
      <c r="B9" s="104">
        <v>2300</v>
      </c>
      <c r="C9" s="99">
        <v>5</v>
      </c>
      <c r="D9" s="105">
        <f>B9*C9</f>
        <v>11500</v>
      </c>
      <c r="E9" s="104"/>
      <c r="F9" s="104"/>
    </row>
    <row r="10" spans="1:7" x14ac:dyDescent="0.25">
      <c r="A10" s="322" t="s">
        <v>874</v>
      </c>
      <c r="B10" s="104">
        <v>500</v>
      </c>
      <c r="C10" s="99">
        <v>10</v>
      </c>
      <c r="D10" s="105">
        <f t="shared" ref="D10:D12" si="0">B10*C10</f>
        <v>5000</v>
      </c>
      <c r="E10" s="104"/>
      <c r="F10" s="104"/>
    </row>
    <row r="11" spans="1:7" x14ac:dyDescent="0.25">
      <c r="A11" s="322" t="s">
        <v>875</v>
      </c>
      <c r="B11" s="104">
        <v>70</v>
      </c>
      <c r="C11" s="99">
        <v>15</v>
      </c>
      <c r="D11" s="105">
        <f t="shared" si="0"/>
        <v>1050</v>
      </c>
      <c r="E11" s="104"/>
      <c r="F11" s="104"/>
    </row>
    <row r="12" spans="1:7" x14ac:dyDescent="0.25">
      <c r="A12" s="322" t="s">
        <v>876</v>
      </c>
      <c r="B12" s="104">
        <v>200</v>
      </c>
      <c r="C12" s="99">
        <v>10</v>
      </c>
      <c r="D12" s="105">
        <f t="shared" si="0"/>
        <v>2000</v>
      </c>
      <c r="E12" s="104"/>
      <c r="F12" s="104"/>
    </row>
    <row r="13" spans="1:7" x14ac:dyDescent="0.25">
      <c r="A13" s="305" t="s">
        <v>4</v>
      </c>
      <c r="B13" s="104"/>
      <c r="C13" s="4"/>
      <c r="D13" s="5">
        <f>SUM(D9:D12)</f>
        <v>19550</v>
      </c>
      <c r="E13" s="5">
        <f t="shared" ref="E13:F13" si="1">SUM(E9:E12)</f>
        <v>0</v>
      </c>
      <c r="F13" s="5">
        <f t="shared" si="1"/>
        <v>0</v>
      </c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</sheetData>
  <mergeCells count="5">
    <mergeCell ref="A1:F1"/>
    <mergeCell ref="A7:A8"/>
    <mergeCell ref="B7:F7"/>
    <mergeCell ref="A4:F4"/>
    <mergeCell ref="A5:F5"/>
  </mergeCells>
  <pageMargins left="0.7" right="0.7" top="0.75" bottom="0.75" header="0.3" footer="0.3"/>
  <pageSetup paperSize="9" orientation="landscape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2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29.7109375" customWidth="1"/>
    <col min="2" max="2" width="10.140625" customWidth="1"/>
    <col min="3" max="3" width="12.140625" customWidth="1"/>
    <col min="4" max="6" width="17.85546875" bestFit="1" customWidth="1"/>
    <col min="7" max="7" width="9.42578125" customWidth="1"/>
  </cols>
  <sheetData>
    <row r="1" spans="1:6" x14ac:dyDescent="0.25">
      <c r="A1" s="581" t="s">
        <v>9</v>
      </c>
      <c r="B1" s="581"/>
      <c r="C1" s="581"/>
      <c r="D1" s="581"/>
      <c r="E1" s="581"/>
      <c r="F1" s="581"/>
    </row>
    <row r="2" spans="1:6" x14ac:dyDescent="0.25">
      <c r="A2" s="616"/>
      <c r="B2" s="616"/>
      <c r="C2" s="616"/>
      <c r="D2" s="616"/>
      <c r="E2" s="616"/>
      <c r="F2" s="616"/>
    </row>
    <row r="3" spans="1:6" x14ac:dyDescent="0.25">
      <c r="A3" s="6"/>
      <c r="B3" s="6"/>
      <c r="C3" s="6"/>
      <c r="D3" s="6"/>
      <c r="E3" s="6"/>
      <c r="F3" s="6"/>
    </row>
    <row r="5" spans="1:6" x14ac:dyDescent="0.25">
      <c r="A5" s="593" t="s">
        <v>0</v>
      </c>
      <c r="B5" s="593" t="s">
        <v>7</v>
      </c>
      <c r="C5" s="593"/>
      <c r="D5" s="593"/>
      <c r="E5" s="593"/>
      <c r="F5" s="593"/>
    </row>
    <row r="6" spans="1:6" x14ac:dyDescent="0.25">
      <c r="A6" s="593"/>
      <c r="B6" s="1" t="s">
        <v>1</v>
      </c>
      <c r="C6" s="1" t="s">
        <v>2</v>
      </c>
      <c r="D6" s="2" t="s">
        <v>19</v>
      </c>
      <c r="E6" s="2" t="s">
        <v>3</v>
      </c>
      <c r="F6" s="2" t="s">
        <v>5</v>
      </c>
    </row>
    <row r="7" spans="1:6" s="102" customFormat="1" x14ac:dyDescent="0.25">
      <c r="A7" s="322" t="s">
        <v>880</v>
      </c>
      <c r="B7" s="104">
        <v>950</v>
      </c>
      <c r="C7" s="99">
        <v>5</v>
      </c>
      <c r="D7" s="105">
        <f>B7*C7*1.037</f>
        <v>4925.75</v>
      </c>
      <c r="E7" s="104">
        <f>D7*1.04</f>
        <v>5122.78</v>
      </c>
      <c r="F7" s="104">
        <f>E7*1.04</f>
        <v>5327.6912000000002</v>
      </c>
    </row>
    <row r="8" spans="1:6" s="102" customFormat="1" x14ac:dyDescent="0.25">
      <c r="A8" s="322" t="s">
        <v>881</v>
      </c>
      <c r="B8" s="104">
        <v>2200</v>
      </c>
      <c r="C8" s="99">
        <v>1</v>
      </c>
      <c r="D8" s="105">
        <f t="shared" ref="D8:D21" si="0">B8*C8*1.037</f>
        <v>2281.3999999999996</v>
      </c>
      <c r="E8" s="104">
        <f t="shared" ref="E8:F21" si="1">D8*1.04</f>
        <v>2372.6559999999995</v>
      </c>
      <c r="F8" s="104">
        <f t="shared" si="1"/>
        <v>2467.5622399999997</v>
      </c>
    </row>
    <row r="9" spans="1:6" s="102" customFormat="1" x14ac:dyDescent="0.25">
      <c r="A9" s="322" t="s">
        <v>882</v>
      </c>
      <c r="B9" s="104">
        <v>2600</v>
      </c>
      <c r="C9" s="99">
        <v>4</v>
      </c>
      <c r="D9" s="105">
        <f t="shared" si="0"/>
        <v>10784.8</v>
      </c>
      <c r="E9" s="104">
        <f t="shared" si="1"/>
        <v>11216.191999999999</v>
      </c>
      <c r="F9" s="104">
        <f t="shared" si="1"/>
        <v>11664.839679999999</v>
      </c>
    </row>
    <row r="10" spans="1:6" s="102" customFormat="1" x14ac:dyDescent="0.25">
      <c r="A10" s="322" t="s">
        <v>883</v>
      </c>
      <c r="B10" s="104">
        <v>7500</v>
      </c>
      <c r="C10" s="99">
        <v>1</v>
      </c>
      <c r="D10" s="105">
        <f t="shared" si="0"/>
        <v>7777.4999999999991</v>
      </c>
      <c r="E10" s="104">
        <f t="shared" si="1"/>
        <v>8088.5999999999995</v>
      </c>
      <c r="F10" s="104">
        <f t="shared" si="1"/>
        <v>8412.1440000000002</v>
      </c>
    </row>
    <row r="11" spans="1:6" s="102" customFormat="1" x14ac:dyDescent="0.25">
      <c r="A11" s="322" t="s">
        <v>884</v>
      </c>
      <c r="B11" s="104">
        <v>500</v>
      </c>
      <c r="C11" s="99">
        <v>2</v>
      </c>
      <c r="D11" s="105">
        <f t="shared" si="0"/>
        <v>1037</v>
      </c>
      <c r="E11" s="104">
        <f t="shared" si="1"/>
        <v>1078.48</v>
      </c>
      <c r="F11" s="104">
        <f t="shared" si="1"/>
        <v>1121.6192000000001</v>
      </c>
    </row>
    <row r="12" spans="1:6" s="102" customFormat="1" x14ac:dyDescent="0.25">
      <c r="A12" s="322" t="s">
        <v>885</v>
      </c>
      <c r="B12" s="104">
        <v>650</v>
      </c>
      <c r="C12" s="99">
        <v>2</v>
      </c>
      <c r="D12" s="105">
        <f t="shared" si="0"/>
        <v>1348.1</v>
      </c>
      <c r="E12" s="104">
        <f t="shared" si="1"/>
        <v>1402.0239999999999</v>
      </c>
      <c r="F12" s="104">
        <f t="shared" si="1"/>
        <v>1458.1049599999999</v>
      </c>
    </row>
    <row r="13" spans="1:6" s="102" customFormat="1" x14ac:dyDescent="0.25">
      <c r="A13" s="322" t="s">
        <v>886</v>
      </c>
      <c r="B13" s="104">
        <v>300</v>
      </c>
      <c r="C13" s="99">
        <v>2</v>
      </c>
      <c r="D13" s="105">
        <f t="shared" si="0"/>
        <v>622.19999999999993</v>
      </c>
      <c r="E13" s="104">
        <f t="shared" si="1"/>
        <v>647.08799999999997</v>
      </c>
      <c r="F13" s="104">
        <f t="shared" si="1"/>
        <v>672.97151999999994</v>
      </c>
    </row>
    <row r="14" spans="1:6" s="102" customFormat="1" x14ac:dyDescent="0.25">
      <c r="A14" s="322" t="s">
        <v>887</v>
      </c>
      <c r="B14" s="104">
        <v>264</v>
      </c>
      <c r="C14" s="99">
        <v>1</v>
      </c>
      <c r="D14" s="105">
        <f t="shared" si="0"/>
        <v>273.76799999999997</v>
      </c>
      <c r="E14" s="104">
        <f t="shared" si="1"/>
        <v>284.71871999999996</v>
      </c>
      <c r="F14" s="104">
        <f t="shared" si="1"/>
        <v>296.10746879999999</v>
      </c>
    </row>
    <row r="15" spans="1:6" s="102" customFormat="1" x14ac:dyDescent="0.25">
      <c r="A15" s="322" t="s">
        <v>888</v>
      </c>
      <c r="B15" s="104">
        <v>40</v>
      </c>
      <c r="C15" s="99">
        <v>3</v>
      </c>
      <c r="D15" s="105">
        <f t="shared" si="0"/>
        <v>124.44</v>
      </c>
      <c r="E15" s="104">
        <f t="shared" si="1"/>
        <v>129.41759999999999</v>
      </c>
      <c r="F15" s="104">
        <f t="shared" si="1"/>
        <v>134.59430399999999</v>
      </c>
    </row>
    <row r="16" spans="1:6" s="102" customFormat="1" x14ac:dyDescent="0.25">
      <c r="A16" s="322" t="s">
        <v>889</v>
      </c>
      <c r="B16" s="104">
        <v>750</v>
      </c>
      <c r="C16" s="365">
        <v>3</v>
      </c>
      <c r="D16" s="105">
        <f t="shared" si="0"/>
        <v>2333.25</v>
      </c>
      <c r="E16" s="104">
        <f t="shared" si="1"/>
        <v>2426.58</v>
      </c>
      <c r="F16" s="104">
        <f t="shared" si="1"/>
        <v>2523.6432</v>
      </c>
    </row>
    <row r="17" spans="1:6" s="102" customFormat="1" x14ac:dyDescent="0.25">
      <c r="A17" s="322" t="s">
        <v>890</v>
      </c>
      <c r="B17" s="104">
        <v>850</v>
      </c>
      <c r="C17" s="99">
        <v>5</v>
      </c>
      <c r="D17" s="105">
        <f t="shared" si="0"/>
        <v>4407.25</v>
      </c>
      <c r="E17" s="104">
        <f t="shared" si="1"/>
        <v>4583.54</v>
      </c>
      <c r="F17" s="104">
        <f t="shared" si="1"/>
        <v>4766.8815999999997</v>
      </c>
    </row>
    <row r="18" spans="1:6" s="102" customFormat="1" x14ac:dyDescent="0.25">
      <c r="A18" s="345" t="s">
        <v>767</v>
      </c>
      <c r="B18" s="104">
        <v>1300</v>
      </c>
      <c r="C18" s="373">
        <v>2</v>
      </c>
      <c r="D18" s="105">
        <f t="shared" si="0"/>
        <v>2696.2</v>
      </c>
      <c r="E18" s="104">
        <f t="shared" si="1"/>
        <v>2804.0479999999998</v>
      </c>
      <c r="F18" s="104">
        <f t="shared" si="1"/>
        <v>2916.2099199999998</v>
      </c>
    </row>
    <row r="19" spans="1:6" s="102" customFormat="1" x14ac:dyDescent="0.25">
      <c r="A19" s="345" t="s">
        <v>891</v>
      </c>
      <c r="B19" s="104">
        <v>2000</v>
      </c>
      <c r="C19" s="373">
        <v>1</v>
      </c>
      <c r="D19" s="105">
        <f t="shared" si="0"/>
        <v>2074</v>
      </c>
      <c r="E19" s="104">
        <f t="shared" si="1"/>
        <v>2156.96</v>
      </c>
      <c r="F19" s="104">
        <f t="shared" si="1"/>
        <v>2243.2384000000002</v>
      </c>
    </row>
    <row r="20" spans="1:6" s="102" customFormat="1" x14ac:dyDescent="0.25">
      <c r="A20" s="345" t="s">
        <v>892</v>
      </c>
      <c r="B20" s="104">
        <v>1000</v>
      </c>
      <c r="C20" s="373">
        <v>1</v>
      </c>
      <c r="D20" s="105">
        <f t="shared" si="0"/>
        <v>1037</v>
      </c>
      <c r="E20" s="104">
        <f t="shared" si="1"/>
        <v>1078.48</v>
      </c>
      <c r="F20" s="104">
        <f t="shared" si="1"/>
        <v>1121.6192000000001</v>
      </c>
    </row>
    <row r="21" spans="1:6" s="102" customFormat="1" x14ac:dyDescent="0.25">
      <c r="A21" s="345" t="s">
        <v>893</v>
      </c>
      <c r="B21" s="104">
        <v>2600</v>
      </c>
      <c r="C21" s="373">
        <v>2</v>
      </c>
      <c r="D21" s="105">
        <f t="shared" si="0"/>
        <v>5392.4</v>
      </c>
      <c r="E21" s="104">
        <f t="shared" si="1"/>
        <v>5608.0959999999995</v>
      </c>
      <c r="F21" s="104">
        <f t="shared" si="1"/>
        <v>5832.4198399999996</v>
      </c>
    </row>
    <row r="22" spans="1:6" x14ac:dyDescent="0.25">
      <c r="A22" s="1" t="s">
        <v>4</v>
      </c>
      <c r="B22" s="3"/>
      <c r="C22" s="4"/>
      <c r="D22" s="5">
        <f>SUM(D7:D21)</f>
        <v>47115.057999999997</v>
      </c>
      <c r="E22" s="5">
        <f>SUM(E7:E21)</f>
        <v>48999.660320000003</v>
      </c>
      <c r="F22" s="5">
        <f>SUM(F7:F21)</f>
        <v>50959.646732800007</v>
      </c>
    </row>
  </sheetData>
  <mergeCells count="4">
    <mergeCell ref="A5:A6"/>
    <mergeCell ref="B5:F5"/>
    <mergeCell ref="A1:F1"/>
    <mergeCell ref="A2:F2"/>
  </mergeCells>
  <pageMargins left="0.7" right="0.7" top="0.75" bottom="0.75" header="0.3" footer="0.3"/>
  <pageSetup paperSize="9" scale="8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74"/>
  <sheetViews>
    <sheetView view="pageBreakPreview" topLeftCell="A129" zoomScaleSheetLayoutView="100" workbookViewId="0">
      <selection activeCell="D135" sqref="D135"/>
    </sheetView>
  </sheetViews>
  <sheetFormatPr defaultRowHeight="15" x14ac:dyDescent="0.25"/>
  <cols>
    <col min="1" max="1" width="43.85546875" style="339" customWidth="1"/>
    <col min="2" max="2" width="10.140625" customWidth="1"/>
    <col min="3" max="3" width="12.140625" customWidth="1"/>
    <col min="4" max="6" width="17.85546875" style="279" bestFit="1" customWidth="1"/>
    <col min="7" max="7" width="9.42578125" customWidth="1"/>
  </cols>
  <sheetData>
    <row r="1" spans="1:6" x14ac:dyDescent="0.25">
      <c r="A1" s="581" t="s">
        <v>8</v>
      </c>
      <c r="B1" s="581"/>
      <c r="C1" s="581"/>
      <c r="D1" s="581"/>
      <c r="E1" s="581"/>
      <c r="F1" s="581"/>
    </row>
    <row r="2" spans="1:6" x14ac:dyDescent="0.25">
      <c r="A2" s="616"/>
      <c r="B2" s="616"/>
      <c r="C2" s="616"/>
      <c r="D2" s="616"/>
      <c r="E2" s="616"/>
      <c r="F2" s="616"/>
    </row>
    <row r="3" spans="1:6" x14ac:dyDescent="0.25">
      <c r="A3" s="314"/>
      <c r="B3" s="6"/>
      <c r="C3" s="6"/>
      <c r="D3" s="416"/>
      <c r="E3" s="416"/>
      <c r="F3" s="416"/>
    </row>
    <row r="4" spans="1:6" ht="63" customHeight="1" x14ac:dyDescent="0.25">
      <c r="A4" s="619" t="s">
        <v>0</v>
      </c>
      <c r="B4" s="593" t="s">
        <v>11</v>
      </c>
      <c r="C4" s="593"/>
      <c r="D4" s="593"/>
      <c r="E4" s="593"/>
      <c r="F4" s="593"/>
    </row>
    <row r="5" spans="1:6" x14ac:dyDescent="0.25">
      <c r="A5" s="620"/>
      <c r="B5" s="1" t="s">
        <v>1</v>
      </c>
      <c r="C5" s="1" t="s">
        <v>2</v>
      </c>
      <c r="D5" s="417" t="s">
        <v>19</v>
      </c>
      <c r="E5" s="417" t="s">
        <v>3</v>
      </c>
      <c r="F5" s="417" t="s">
        <v>5</v>
      </c>
    </row>
    <row r="6" spans="1:6" s="102" customFormat="1" ht="30" x14ac:dyDescent="0.25">
      <c r="A6" s="418" t="s">
        <v>894</v>
      </c>
      <c r="B6" s="104">
        <v>52</v>
      </c>
      <c r="C6" s="99">
        <v>10</v>
      </c>
      <c r="D6" s="405">
        <f>B6*C6</f>
        <v>520</v>
      </c>
      <c r="E6" s="403">
        <f>D6*1.04</f>
        <v>540.80000000000007</v>
      </c>
      <c r="F6" s="403">
        <f>E6*1.04</f>
        <v>562.43200000000013</v>
      </c>
    </row>
    <row r="7" spans="1:6" s="102" customFormat="1" ht="30" x14ac:dyDescent="0.25">
      <c r="A7" s="418" t="s">
        <v>895</v>
      </c>
      <c r="B7" s="104">
        <v>45</v>
      </c>
      <c r="C7" s="99">
        <v>10</v>
      </c>
      <c r="D7" s="405">
        <f t="shared" ref="D7:D62" si="0">B7*C7</f>
        <v>450</v>
      </c>
      <c r="E7" s="403">
        <f t="shared" ref="E7:F20" si="1">D7*1.04</f>
        <v>468</v>
      </c>
      <c r="F7" s="403">
        <f t="shared" si="1"/>
        <v>486.72</v>
      </c>
    </row>
    <row r="8" spans="1:6" s="102" customFormat="1" ht="30" x14ac:dyDescent="0.25">
      <c r="A8" s="418" t="s">
        <v>896</v>
      </c>
      <c r="B8" s="104">
        <v>250</v>
      </c>
      <c r="C8" s="99">
        <v>10</v>
      </c>
      <c r="D8" s="405">
        <f t="shared" si="0"/>
        <v>2500</v>
      </c>
      <c r="E8" s="403">
        <f t="shared" si="1"/>
        <v>2600</v>
      </c>
      <c r="F8" s="403">
        <f t="shared" si="1"/>
        <v>2704</v>
      </c>
    </row>
    <row r="9" spans="1:6" s="102" customFormat="1" x14ac:dyDescent="0.25">
      <c r="A9" s="418" t="s">
        <v>897</v>
      </c>
      <c r="B9" s="104">
        <v>85</v>
      </c>
      <c r="C9" s="99">
        <v>15</v>
      </c>
      <c r="D9" s="405">
        <f t="shared" si="0"/>
        <v>1275</v>
      </c>
      <c r="E9" s="403">
        <f t="shared" si="1"/>
        <v>1326</v>
      </c>
      <c r="F9" s="403">
        <f t="shared" si="1"/>
        <v>1379.04</v>
      </c>
    </row>
    <row r="10" spans="1:6" s="102" customFormat="1" ht="30" x14ac:dyDescent="0.25">
      <c r="A10" s="418" t="s">
        <v>898</v>
      </c>
      <c r="B10" s="104">
        <v>10</v>
      </c>
      <c r="C10" s="99">
        <v>20</v>
      </c>
      <c r="D10" s="405">
        <f t="shared" si="0"/>
        <v>200</v>
      </c>
      <c r="E10" s="403">
        <f t="shared" si="1"/>
        <v>208</v>
      </c>
      <c r="F10" s="403">
        <f t="shared" si="1"/>
        <v>216.32</v>
      </c>
    </row>
    <row r="11" spans="1:6" s="102" customFormat="1" ht="30" x14ac:dyDescent="0.25">
      <c r="A11" s="418" t="s">
        <v>899</v>
      </c>
      <c r="B11" s="104">
        <v>30</v>
      </c>
      <c r="C11" s="99">
        <v>10</v>
      </c>
      <c r="D11" s="405">
        <f t="shared" si="0"/>
        <v>300</v>
      </c>
      <c r="E11" s="403">
        <f t="shared" si="1"/>
        <v>312</v>
      </c>
      <c r="F11" s="403">
        <f t="shared" si="1"/>
        <v>324.48</v>
      </c>
    </row>
    <row r="12" spans="1:6" s="102" customFormat="1" ht="30" x14ac:dyDescent="0.25">
      <c r="A12" s="418" t="s">
        <v>900</v>
      </c>
      <c r="B12" s="104">
        <v>190</v>
      </c>
      <c r="C12" s="99">
        <v>10</v>
      </c>
      <c r="D12" s="405">
        <f t="shared" si="0"/>
        <v>1900</v>
      </c>
      <c r="E12" s="403">
        <f t="shared" si="1"/>
        <v>1976</v>
      </c>
      <c r="F12" s="403">
        <f t="shared" si="1"/>
        <v>2055.04</v>
      </c>
    </row>
    <row r="13" spans="1:6" s="102" customFormat="1" x14ac:dyDescent="0.25">
      <c r="A13" s="418" t="s">
        <v>901</v>
      </c>
      <c r="B13" s="104">
        <v>290</v>
      </c>
      <c r="C13" s="99">
        <v>10</v>
      </c>
      <c r="D13" s="405">
        <f t="shared" si="0"/>
        <v>2900</v>
      </c>
      <c r="E13" s="403">
        <f t="shared" si="1"/>
        <v>3016</v>
      </c>
      <c r="F13" s="403">
        <f t="shared" si="1"/>
        <v>3136.6400000000003</v>
      </c>
    </row>
    <row r="14" spans="1:6" s="102" customFormat="1" x14ac:dyDescent="0.25">
      <c r="A14" s="419" t="s">
        <v>902</v>
      </c>
      <c r="B14" s="104">
        <v>130</v>
      </c>
      <c r="C14" s="99">
        <v>5</v>
      </c>
      <c r="D14" s="405">
        <f t="shared" si="0"/>
        <v>650</v>
      </c>
      <c r="E14" s="403">
        <f t="shared" si="1"/>
        <v>676</v>
      </c>
      <c r="F14" s="403">
        <f t="shared" si="1"/>
        <v>703.04000000000008</v>
      </c>
    </row>
    <row r="15" spans="1:6" s="102" customFormat="1" ht="30" x14ac:dyDescent="0.25">
      <c r="A15" s="418" t="s">
        <v>903</v>
      </c>
      <c r="B15" s="104">
        <v>210</v>
      </c>
      <c r="C15" s="99">
        <v>5</v>
      </c>
      <c r="D15" s="405">
        <f t="shared" si="0"/>
        <v>1050</v>
      </c>
      <c r="E15" s="403">
        <f t="shared" si="1"/>
        <v>1092</v>
      </c>
      <c r="F15" s="403">
        <f t="shared" si="1"/>
        <v>1135.68</v>
      </c>
    </row>
    <row r="16" spans="1:6" s="102" customFormat="1" x14ac:dyDescent="0.25">
      <c r="A16" s="420" t="s">
        <v>904</v>
      </c>
      <c r="B16" s="104">
        <v>10</v>
      </c>
      <c r="C16" s="99">
        <v>10</v>
      </c>
      <c r="D16" s="405">
        <f t="shared" si="0"/>
        <v>100</v>
      </c>
      <c r="E16" s="403">
        <f t="shared" si="1"/>
        <v>104</v>
      </c>
      <c r="F16" s="403">
        <f t="shared" si="1"/>
        <v>108.16</v>
      </c>
    </row>
    <row r="17" spans="1:6" s="102" customFormat="1" x14ac:dyDescent="0.25">
      <c r="A17" s="420" t="s">
        <v>905</v>
      </c>
      <c r="B17" s="104">
        <v>45</v>
      </c>
      <c r="C17" s="99">
        <v>2</v>
      </c>
      <c r="D17" s="405">
        <f t="shared" si="0"/>
        <v>90</v>
      </c>
      <c r="E17" s="403">
        <f t="shared" si="1"/>
        <v>93.600000000000009</v>
      </c>
      <c r="F17" s="403">
        <f t="shared" si="1"/>
        <v>97.344000000000008</v>
      </c>
    </row>
    <row r="18" spans="1:6" s="102" customFormat="1" x14ac:dyDescent="0.25">
      <c r="A18" s="419" t="s">
        <v>906</v>
      </c>
      <c r="B18" s="104">
        <v>72</v>
      </c>
      <c r="C18" s="365">
        <v>2</v>
      </c>
      <c r="D18" s="405">
        <f t="shared" si="0"/>
        <v>144</v>
      </c>
      <c r="E18" s="403">
        <f t="shared" si="1"/>
        <v>149.76</v>
      </c>
      <c r="F18" s="403">
        <f t="shared" si="1"/>
        <v>155.75039999999998</v>
      </c>
    </row>
    <row r="19" spans="1:6" s="102" customFormat="1" x14ac:dyDescent="0.25">
      <c r="A19" s="418" t="s">
        <v>907</v>
      </c>
      <c r="B19" s="104">
        <v>190</v>
      </c>
      <c r="C19" s="365">
        <v>2</v>
      </c>
      <c r="D19" s="405">
        <f t="shared" si="0"/>
        <v>380</v>
      </c>
      <c r="E19" s="403">
        <f t="shared" si="1"/>
        <v>395.2</v>
      </c>
      <c r="F19" s="403">
        <f t="shared" si="1"/>
        <v>411.00799999999998</v>
      </c>
    </row>
    <row r="20" spans="1:6" s="102" customFormat="1" x14ac:dyDescent="0.25">
      <c r="A20" s="419" t="s">
        <v>908</v>
      </c>
      <c r="B20" s="104">
        <v>60</v>
      </c>
      <c r="C20" s="99">
        <v>2</v>
      </c>
      <c r="D20" s="405">
        <f t="shared" si="0"/>
        <v>120</v>
      </c>
      <c r="E20" s="403">
        <f t="shared" si="1"/>
        <v>124.80000000000001</v>
      </c>
      <c r="F20" s="403">
        <f t="shared" si="1"/>
        <v>129.79200000000003</v>
      </c>
    </row>
    <row r="21" spans="1:6" s="102" customFormat="1" x14ac:dyDescent="0.25">
      <c r="A21" s="346" t="s">
        <v>909</v>
      </c>
      <c r="B21" s="104">
        <v>40</v>
      </c>
      <c r="C21" s="342">
        <v>0</v>
      </c>
      <c r="D21" s="405">
        <f t="shared" si="0"/>
        <v>0</v>
      </c>
      <c r="E21" s="403">
        <f t="shared" ref="E21:F36" si="2">D21*1.04</f>
        <v>0</v>
      </c>
      <c r="F21" s="403">
        <f t="shared" si="2"/>
        <v>0</v>
      </c>
    </row>
    <row r="22" spans="1:6" s="102" customFormat="1" x14ac:dyDescent="0.25">
      <c r="A22" s="346" t="s">
        <v>910</v>
      </c>
      <c r="B22" s="104">
        <v>65</v>
      </c>
      <c r="C22" s="342">
        <v>5</v>
      </c>
      <c r="D22" s="405">
        <f t="shared" si="0"/>
        <v>325</v>
      </c>
      <c r="E22" s="403">
        <f t="shared" si="2"/>
        <v>338</v>
      </c>
      <c r="F22" s="403">
        <f t="shared" si="2"/>
        <v>351.52000000000004</v>
      </c>
    </row>
    <row r="23" spans="1:6" s="102" customFormat="1" x14ac:dyDescent="0.25">
      <c r="A23" s="346" t="s">
        <v>911</v>
      </c>
      <c r="B23" s="104">
        <v>15</v>
      </c>
      <c r="C23" s="342">
        <v>5</v>
      </c>
      <c r="D23" s="405">
        <f t="shared" si="0"/>
        <v>75</v>
      </c>
      <c r="E23" s="403">
        <f t="shared" si="2"/>
        <v>78</v>
      </c>
      <c r="F23" s="403">
        <f t="shared" si="2"/>
        <v>81.12</v>
      </c>
    </row>
    <row r="24" spans="1:6" s="102" customFormat="1" x14ac:dyDescent="0.25">
      <c r="A24" s="346" t="s">
        <v>912</v>
      </c>
      <c r="B24" s="104">
        <v>10</v>
      </c>
      <c r="C24" s="342">
        <v>20</v>
      </c>
      <c r="D24" s="405">
        <f t="shared" si="0"/>
        <v>200</v>
      </c>
      <c r="E24" s="403">
        <f t="shared" si="2"/>
        <v>208</v>
      </c>
      <c r="F24" s="403">
        <f t="shared" si="2"/>
        <v>216.32</v>
      </c>
    </row>
    <row r="25" spans="1:6" s="102" customFormat="1" x14ac:dyDescent="0.25">
      <c r="A25" s="346" t="s">
        <v>913</v>
      </c>
      <c r="B25" s="104">
        <v>10</v>
      </c>
      <c r="C25" s="342">
        <v>20</v>
      </c>
      <c r="D25" s="405">
        <f t="shared" si="0"/>
        <v>200</v>
      </c>
      <c r="E25" s="403">
        <f t="shared" si="2"/>
        <v>208</v>
      </c>
      <c r="F25" s="403">
        <f t="shared" si="2"/>
        <v>216.32</v>
      </c>
    </row>
    <row r="26" spans="1:6" s="102" customFormat="1" x14ac:dyDescent="0.25">
      <c r="A26" s="346" t="s">
        <v>914</v>
      </c>
      <c r="B26" s="104">
        <v>50</v>
      </c>
      <c r="C26" s="342">
        <v>20</v>
      </c>
      <c r="D26" s="405">
        <f t="shared" si="0"/>
        <v>1000</v>
      </c>
      <c r="E26" s="403">
        <f t="shared" si="2"/>
        <v>1040</v>
      </c>
      <c r="F26" s="403">
        <f t="shared" si="2"/>
        <v>1081.6000000000001</v>
      </c>
    </row>
    <row r="27" spans="1:6" s="102" customFormat="1" x14ac:dyDescent="0.25">
      <c r="A27" s="346" t="s">
        <v>915</v>
      </c>
      <c r="B27" s="104">
        <v>60</v>
      </c>
      <c r="C27" s="342">
        <v>20</v>
      </c>
      <c r="D27" s="405">
        <f t="shared" si="0"/>
        <v>1200</v>
      </c>
      <c r="E27" s="403">
        <f t="shared" si="2"/>
        <v>1248</v>
      </c>
      <c r="F27" s="403">
        <f t="shared" si="2"/>
        <v>1297.92</v>
      </c>
    </row>
    <row r="28" spans="1:6" s="102" customFormat="1" x14ac:dyDescent="0.25">
      <c r="A28" s="346" t="s">
        <v>916</v>
      </c>
      <c r="B28" s="104">
        <v>300</v>
      </c>
      <c r="C28" s="342">
        <v>0</v>
      </c>
      <c r="D28" s="405">
        <f t="shared" si="0"/>
        <v>0</v>
      </c>
      <c r="E28" s="403">
        <f t="shared" si="2"/>
        <v>0</v>
      </c>
      <c r="F28" s="403">
        <f t="shared" si="2"/>
        <v>0</v>
      </c>
    </row>
    <row r="29" spans="1:6" s="102" customFormat="1" x14ac:dyDescent="0.25">
      <c r="A29" s="346" t="s">
        <v>917</v>
      </c>
      <c r="B29" s="104">
        <v>75</v>
      </c>
      <c r="C29" s="342">
        <v>0</v>
      </c>
      <c r="D29" s="405">
        <f t="shared" si="0"/>
        <v>0</v>
      </c>
      <c r="E29" s="403">
        <f t="shared" si="2"/>
        <v>0</v>
      </c>
      <c r="F29" s="403">
        <f t="shared" si="2"/>
        <v>0</v>
      </c>
    </row>
    <row r="30" spans="1:6" s="102" customFormat="1" x14ac:dyDescent="0.25">
      <c r="A30" s="346" t="s">
        <v>918</v>
      </c>
      <c r="B30" s="104">
        <v>180</v>
      </c>
      <c r="C30" s="342">
        <v>9</v>
      </c>
      <c r="D30" s="405">
        <f t="shared" si="0"/>
        <v>1620</v>
      </c>
      <c r="E30" s="403">
        <f t="shared" si="2"/>
        <v>1684.8</v>
      </c>
      <c r="F30" s="403">
        <f t="shared" si="2"/>
        <v>1752.192</v>
      </c>
    </row>
    <row r="31" spans="1:6" s="102" customFormat="1" x14ac:dyDescent="0.25">
      <c r="A31" s="346" t="s">
        <v>919</v>
      </c>
      <c r="B31" s="104">
        <v>165</v>
      </c>
      <c r="C31" s="342">
        <v>2</v>
      </c>
      <c r="D31" s="405">
        <f t="shared" si="0"/>
        <v>330</v>
      </c>
      <c r="E31" s="403">
        <f t="shared" si="2"/>
        <v>343.2</v>
      </c>
      <c r="F31" s="403">
        <f t="shared" si="2"/>
        <v>356.928</v>
      </c>
    </row>
    <row r="32" spans="1:6" s="102" customFormat="1" x14ac:dyDescent="0.25">
      <c r="A32" s="346" t="s">
        <v>920</v>
      </c>
      <c r="B32" s="104">
        <v>55</v>
      </c>
      <c r="C32" s="342">
        <v>10</v>
      </c>
      <c r="D32" s="405">
        <f t="shared" si="0"/>
        <v>550</v>
      </c>
      <c r="E32" s="403">
        <f t="shared" si="2"/>
        <v>572</v>
      </c>
      <c r="F32" s="403">
        <f t="shared" si="2"/>
        <v>594.88</v>
      </c>
    </row>
    <row r="33" spans="1:6" s="102" customFormat="1" x14ac:dyDescent="0.25">
      <c r="A33" s="346" t="s">
        <v>921</v>
      </c>
      <c r="B33" s="104">
        <v>175</v>
      </c>
      <c r="C33" s="342">
        <v>0</v>
      </c>
      <c r="D33" s="405">
        <f t="shared" si="0"/>
        <v>0</v>
      </c>
      <c r="E33" s="403">
        <f t="shared" si="2"/>
        <v>0</v>
      </c>
      <c r="F33" s="403">
        <f t="shared" si="2"/>
        <v>0</v>
      </c>
    </row>
    <row r="34" spans="1:6" s="102" customFormat="1" x14ac:dyDescent="0.25">
      <c r="A34" s="346" t="s">
        <v>922</v>
      </c>
      <c r="B34" s="104">
        <v>130</v>
      </c>
      <c r="C34" s="342">
        <v>0</v>
      </c>
      <c r="D34" s="405">
        <f t="shared" si="0"/>
        <v>0</v>
      </c>
      <c r="E34" s="403">
        <f t="shared" si="2"/>
        <v>0</v>
      </c>
      <c r="F34" s="403">
        <f t="shared" si="2"/>
        <v>0</v>
      </c>
    </row>
    <row r="35" spans="1:6" s="102" customFormat="1" x14ac:dyDescent="0.25">
      <c r="A35" s="346" t="s">
        <v>923</v>
      </c>
      <c r="B35" s="104">
        <v>3</v>
      </c>
      <c r="C35" s="342">
        <v>0</v>
      </c>
      <c r="D35" s="405">
        <f t="shared" si="0"/>
        <v>0</v>
      </c>
      <c r="E35" s="403">
        <f t="shared" si="2"/>
        <v>0</v>
      </c>
      <c r="F35" s="403">
        <f t="shared" si="2"/>
        <v>0</v>
      </c>
    </row>
    <row r="36" spans="1:6" s="102" customFormat="1" x14ac:dyDescent="0.25">
      <c r="A36" s="346" t="s">
        <v>924</v>
      </c>
      <c r="B36" s="104">
        <v>35</v>
      </c>
      <c r="C36" s="342">
        <v>10</v>
      </c>
      <c r="D36" s="405">
        <f t="shared" si="0"/>
        <v>350</v>
      </c>
      <c r="E36" s="403">
        <f t="shared" si="2"/>
        <v>364</v>
      </c>
      <c r="F36" s="403">
        <f t="shared" si="2"/>
        <v>378.56</v>
      </c>
    </row>
    <row r="37" spans="1:6" s="102" customFormat="1" x14ac:dyDescent="0.25">
      <c r="A37" s="346" t="s">
        <v>925</v>
      </c>
      <c r="B37" s="104">
        <v>180</v>
      </c>
      <c r="C37" s="342">
        <v>0</v>
      </c>
      <c r="D37" s="405">
        <f t="shared" si="0"/>
        <v>0</v>
      </c>
      <c r="E37" s="403">
        <f t="shared" ref="E37:F47" si="3">D37*1.04</f>
        <v>0</v>
      </c>
      <c r="F37" s="403">
        <f t="shared" si="3"/>
        <v>0</v>
      </c>
    </row>
    <row r="38" spans="1:6" s="102" customFormat="1" x14ac:dyDescent="0.25">
      <c r="A38" s="421" t="s">
        <v>926</v>
      </c>
      <c r="B38" s="104">
        <v>50</v>
      </c>
      <c r="C38" s="342">
        <v>0</v>
      </c>
      <c r="D38" s="405">
        <f t="shared" si="0"/>
        <v>0</v>
      </c>
      <c r="E38" s="403">
        <f t="shared" si="3"/>
        <v>0</v>
      </c>
      <c r="F38" s="403">
        <f t="shared" si="3"/>
        <v>0</v>
      </c>
    </row>
    <row r="39" spans="1:6" s="102" customFormat="1" x14ac:dyDescent="0.25">
      <c r="A39" s="418" t="s">
        <v>927</v>
      </c>
      <c r="B39" s="104">
        <v>148</v>
      </c>
      <c r="C39" s="342">
        <v>10</v>
      </c>
      <c r="D39" s="405">
        <f t="shared" si="0"/>
        <v>1480</v>
      </c>
      <c r="E39" s="403">
        <f t="shared" si="3"/>
        <v>1539.2</v>
      </c>
      <c r="F39" s="403">
        <f t="shared" si="3"/>
        <v>1600.768</v>
      </c>
    </row>
    <row r="40" spans="1:6" s="102" customFormat="1" x14ac:dyDescent="0.25">
      <c r="A40" s="421" t="s">
        <v>928</v>
      </c>
      <c r="B40" s="104">
        <v>45</v>
      </c>
      <c r="C40" s="342">
        <v>10</v>
      </c>
      <c r="D40" s="405">
        <f t="shared" si="0"/>
        <v>450</v>
      </c>
      <c r="E40" s="403">
        <f t="shared" si="3"/>
        <v>468</v>
      </c>
      <c r="F40" s="403">
        <f t="shared" si="3"/>
        <v>486.72</v>
      </c>
    </row>
    <row r="41" spans="1:6" s="102" customFormat="1" x14ac:dyDescent="0.25">
      <c r="A41" s="421" t="s">
        <v>929</v>
      </c>
      <c r="B41" s="104">
        <v>15</v>
      </c>
      <c r="C41" s="342">
        <v>10</v>
      </c>
      <c r="D41" s="405">
        <f t="shared" si="0"/>
        <v>150</v>
      </c>
      <c r="E41" s="403">
        <f t="shared" si="3"/>
        <v>156</v>
      </c>
      <c r="F41" s="403">
        <f t="shared" si="3"/>
        <v>162.24</v>
      </c>
    </row>
    <row r="42" spans="1:6" s="102" customFormat="1" x14ac:dyDescent="0.25">
      <c r="A42" s="421" t="s">
        <v>930</v>
      </c>
      <c r="B42" s="104">
        <v>55</v>
      </c>
      <c r="C42" s="342">
        <v>0</v>
      </c>
      <c r="D42" s="405">
        <f t="shared" si="0"/>
        <v>0</v>
      </c>
      <c r="E42" s="403">
        <f t="shared" si="3"/>
        <v>0</v>
      </c>
      <c r="F42" s="403">
        <f t="shared" si="3"/>
        <v>0</v>
      </c>
    </row>
    <row r="43" spans="1:6" s="102" customFormat="1" ht="30" x14ac:dyDescent="0.25">
      <c r="A43" s="418" t="s">
        <v>931</v>
      </c>
      <c r="B43" s="104">
        <v>60</v>
      </c>
      <c r="C43" s="342">
        <v>0</v>
      </c>
      <c r="D43" s="405">
        <f t="shared" si="0"/>
        <v>0</v>
      </c>
      <c r="E43" s="403">
        <f t="shared" si="3"/>
        <v>0</v>
      </c>
      <c r="F43" s="403">
        <f t="shared" si="3"/>
        <v>0</v>
      </c>
    </row>
    <row r="44" spans="1:6" s="102" customFormat="1" x14ac:dyDescent="0.25">
      <c r="A44" s="421" t="s">
        <v>932</v>
      </c>
      <c r="B44" s="104">
        <v>200</v>
      </c>
      <c r="C44" s="342">
        <v>0</v>
      </c>
      <c r="D44" s="405">
        <f t="shared" si="0"/>
        <v>0</v>
      </c>
      <c r="E44" s="403">
        <f t="shared" si="3"/>
        <v>0</v>
      </c>
      <c r="F44" s="403">
        <f t="shared" si="3"/>
        <v>0</v>
      </c>
    </row>
    <row r="45" spans="1:6" s="102" customFormat="1" x14ac:dyDescent="0.25">
      <c r="A45" s="421" t="s">
        <v>933</v>
      </c>
      <c r="B45" s="104">
        <v>40</v>
      </c>
      <c r="C45" s="342"/>
      <c r="D45" s="405">
        <f t="shared" si="0"/>
        <v>0</v>
      </c>
      <c r="E45" s="403">
        <f t="shared" si="3"/>
        <v>0</v>
      </c>
      <c r="F45" s="403">
        <f t="shared" si="3"/>
        <v>0</v>
      </c>
    </row>
    <row r="46" spans="1:6" s="102" customFormat="1" x14ac:dyDescent="0.25">
      <c r="A46" s="421" t="s">
        <v>934</v>
      </c>
      <c r="B46" s="104">
        <v>54</v>
      </c>
      <c r="C46" s="342">
        <v>0</v>
      </c>
      <c r="D46" s="405">
        <f t="shared" si="0"/>
        <v>0</v>
      </c>
      <c r="E46" s="403">
        <f t="shared" si="3"/>
        <v>0</v>
      </c>
      <c r="F46" s="403">
        <f t="shared" si="3"/>
        <v>0</v>
      </c>
    </row>
    <row r="47" spans="1:6" s="102" customFormat="1" x14ac:dyDescent="0.25">
      <c r="A47" s="421" t="s">
        <v>935</v>
      </c>
      <c r="B47" s="104">
        <v>15</v>
      </c>
      <c r="C47" s="342">
        <v>0</v>
      </c>
      <c r="D47" s="405">
        <f t="shared" si="0"/>
        <v>0</v>
      </c>
      <c r="E47" s="403">
        <f t="shared" si="3"/>
        <v>0</v>
      </c>
      <c r="F47" s="403">
        <f t="shared" si="3"/>
        <v>0</v>
      </c>
    </row>
    <row r="48" spans="1:6" s="102" customFormat="1" x14ac:dyDescent="0.25">
      <c r="A48" s="421" t="s">
        <v>936</v>
      </c>
      <c r="B48" s="104">
        <v>110</v>
      </c>
      <c r="C48" s="342">
        <v>10</v>
      </c>
      <c r="D48" s="405">
        <f t="shared" si="0"/>
        <v>1100</v>
      </c>
      <c r="E48" s="403">
        <f t="shared" ref="E48:F62" si="4">D48*1.04</f>
        <v>1144</v>
      </c>
      <c r="F48" s="403">
        <f t="shared" si="4"/>
        <v>1189.76</v>
      </c>
    </row>
    <row r="49" spans="1:6" s="102" customFormat="1" x14ac:dyDescent="0.25">
      <c r="A49" s="421" t="s">
        <v>937</v>
      </c>
      <c r="B49" s="104">
        <v>320</v>
      </c>
      <c r="C49" s="342">
        <v>5</v>
      </c>
      <c r="D49" s="405">
        <f t="shared" si="0"/>
        <v>1600</v>
      </c>
      <c r="E49" s="403">
        <f t="shared" si="4"/>
        <v>1664</v>
      </c>
      <c r="F49" s="403">
        <f t="shared" si="4"/>
        <v>1730.56</v>
      </c>
    </row>
    <row r="50" spans="1:6" s="102" customFormat="1" x14ac:dyDescent="0.25">
      <c r="A50" s="421" t="s">
        <v>938</v>
      </c>
      <c r="B50" s="104">
        <v>20</v>
      </c>
      <c r="C50" s="342">
        <v>10</v>
      </c>
      <c r="D50" s="405">
        <f t="shared" si="0"/>
        <v>200</v>
      </c>
      <c r="E50" s="403">
        <f t="shared" si="4"/>
        <v>208</v>
      </c>
      <c r="F50" s="403">
        <f t="shared" si="4"/>
        <v>216.32</v>
      </c>
    </row>
    <row r="51" spans="1:6" s="102" customFormat="1" x14ac:dyDescent="0.25">
      <c r="A51" s="421" t="s">
        <v>939</v>
      </c>
      <c r="B51" s="104">
        <v>25</v>
      </c>
      <c r="C51" s="342">
        <v>10</v>
      </c>
      <c r="D51" s="405">
        <f t="shared" si="0"/>
        <v>250</v>
      </c>
      <c r="E51" s="403">
        <f t="shared" si="4"/>
        <v>260</v>
      </c>
      <c r="F51" s="403">
        <f t="shared" si="4"/>
        <v>270.40000000000003</v>
      </c>
    </row>
    <row r="52" spans="1:6" s="102" customFormat="1" x14ac:dyDescent="0.25">
      <c r="A52" s="418" t="s">
        <v>940</v>
      </c>
      <c r="B52" s="104">
        <v>15</v>
      </c>
      <c r="C52" s="342">
        <v>0</v>
      </c>
      <c r="D52" s="405">
        <f t="shared" si="0"/>
        <v>0</v>
      </c>
      <c r="E52" s="403">
        <f t="shared" si="4"/>
        <v>0</v>
      </c>
      <c r="F52" s="403">
        <f t="shared" si="4"/>
        <v>0</v>
      </c>
    </row>
    <row r="53" spans="1:6" s="102" customFormat="1" ht="30" x14ac:dyDescent="0.25">
      <c r="A53" s="418" t="s">
        <v>941</v>
      </c>
      <c r="B53" s="104">
        <v>1100</v>
      </c>
      <c r="C53" s="342">
        <v>0</v>
      </c>
      <c r="D53" s="405">
        <f t="shared" si="0"/>
        <v>0</v>
      </c>
      <c r="E53" s="403">
        <f t="shared" si="4"/>
        <v>0</v>
      </c>
      <c r="F53" s="403">
        <f t="shared" si="4"/>
        <v>0</v>
      </c>
    </row>
    <row r="54" spans="1:6" s="102" customFormat="1" ht="30" x14ac:dyDescent="0.25">
      <c r="A54" s="418" t="s">
        <v>942</v>
      </c>
      <c r="B54" s="104">
        <v>15</v>
      </c>
      <c r="C54" s="342">
        <v>0</v>
      </c>
      <c r="D54" s="405">
        <f t="shared" si="0"/>
        <v>0</v>
      </c>
      <c r="E54" s="403">
        <f t="shared" si="4"/>
        <v>0</v>
      </c>
      <c r="F54" s="403">
        <f t="shared" si="4"/>
        <v>0</v>
      </c>
    </row>
    <row r="55" spans="1:6" s="102" customFormat="1" x14ac:dyDescent="0.25">
      <c r="A55" s="421" t="s">
        <v>943</v>
      </c>
      <c r="B55" s="104">
        <v>65</v>
      </c>
      <c r="C55" s="342">
        <v>0</v>
      </c>
      <c r="D55" s="405">
        <f t="shared" si="0"/>
        <v>0</v>
      </c>
      <c r="E55" s="403">
        <f t="shared" si="4"/>
        <v>0</v>
      </c>
      <c r="F55" s="403">
        <f t="shared" si="4"/>
        <v>0</v>
      </c>
    </row>
    <row r="56" spans="1:6" s="102" customFormat="1" x14ac:dyDescent="0.25">
      <c r="A56" s="422" t="s">
        <v>944</v>
      </c>
      <c r="B56" s="104">
        <v>1100</v>
      </c>
      <c r="C56" s="342">
        <v>0</v>
      </c>
      <c r="D56" s="405">
        <f t="shared" si="0"/>
        <v>0</v>
      </c>
      <c r="E56" s="403">
        <f t="shared" si="4"/>
        <v>0</v>
      </c>
      <c r="F56" s="403">
        <f t="shared" si="4"/>
        <v>0</v>
      </c>
    </row>
    <row r="57" spans="1:6" s="102" customFormat="1" x14ac:dyDescent="0.25">
      <c r="A57" s="423" t="s">
        <v>945</v>
      </c>
      <c r="B57" s="415">
        <v>1200</v>
      </c>
      <c r="C57" s="342">
        <v>5</v>
      </c>
      <c r="D57" s="405">
        <f t="shared" si="0"/>
        <v>6000</v>
      </c>
      <c r="E57" s="403">
        <f t="shared" si="4"/>
        <v>6240</v>
      </c>
      <c r="F57" s="403">
        <f t="shared" si="4"/>
        <v>6489.6</v>
      </c>
    </row>
    <row r="58" spans="1:6" s="102" customFormat="1" x14ac:dyDescent="0.25">
      <c r="A58" s="419" t="s">
        <v>946</v>
      </c>
      <c r="B58" s="415">
        <v>110</v>
      </c>
      <c r="C58" s="342">
        <v>40</v>
      </c>
      <c r="D58" s="405">
        <f t="shared" si="0"/>
        <v>4400</v>
      </c>
      <c r="E58" s="403">
        <f t="shared" si="4"/>
        <v>4576</v>
      </c>
      <c r="F58" s="403">
        <f t="shared" si="4"/>
        <v>4759.04</v>
      </c>
    </row>
    <row r="59" spans="1:6" s="102" customFormat="1" x14ac:dyDescent="0.25">
      <c r="A59" s="420" t="s">
        <v>947</v>
      </c>
      <c r="B59" s="415">
        <v>100</v>
      </c>
      <c r="C59" s="342">
        <v>30</v>
      </c>
      <c r="D59" s="405">
        <f t="shared" si="0"/>
        <v>3000</v>
      </c>
      <c r="E59" s="403">
        <f t="shared" si="4"/>
        <v>3120</v>
      </c>
      <c r="F59" s="403">
        <f t="shared" si="4"/>
        <v>3244.8</v>
      </c>
    </row>
    <row r="60" spans="1:6" s="102" customFormat="1" x14ac:dyDescent="0.25">
      <c r="A60" s="420" t="s">
        <v>948</v>
      </c>
      <c r="B60" s="415">
        <v>180</v>
      </c>
      <c r="C60" s="342">
        <v>10</v>
      </c>
      <c r="D60" s="405">
        <f t="shared" si="0"/>
        <v>1800</v>
      </c>
      <c r="E60" s="403">
        <f t="shared" si="4"/>
        <v>1872</v>
      </c>
      <c r="F60" s="403">
        <f t="shared" si="4"/>
        <v>1946.88</v>
      </c>
    </row>
    <row r="61" spans="1:6" s="102" customFormat="1" x14ac:dyDescent="0.25">
      <c r="A61" s="420" t="s">
        <v>949</v>
      </c>
      <c r="B61" s="415">
        <v>255</v>
      </c>
      <c r="C61" s="342">
        <v>20</v>
      </c>
      <c r="D61" s="405">
        <f t="shared" si="0"/>
        <v>5100</v>
      </c>
      <c r="E61" s="403">
        <f t="shared" si="4"/>
        <v>5304</v>
      </c>
      <c r="F61" s="403">
        <f t="shared" si="4"/>
        <v>5516.16</v>
      </c>
    </row>
    <row r="62" spans="1:6" s="102" customFormat="1" x14ac:dyDescent="0.25">
      <c r="A62" s="420" t="s">
        <v>950</v>
      </c>
      <c r="B62" s="415">
        <v>140</v>
      </c>
      <c r="C62" s="342">
        <v>20</v>
      </c>
      <c r="D62" s="405">
        <f t="shared" si="0"/>
        <v>2800</v>
      </c>
      <c r="E62" s="403">
        <f t="shared" si="4"/>
        <v>2912</v>
      </c>
      <c r="F62" s="403">
        <f t="shared" si="4"/>
        <v>3028.48</v>
      </c>
    </row>
    <row r="63" spans="1:6" s="102" customFormat="1" x14ac:dyDescent="0.25">
      <c r="A63" s="420" t="s">
        <v>951</v>
      </c>
      <c r="B63" s="415">
        <v>100</v>
      </c>
      <c r="C63" s="342">
        <v>10</v>
      </c>
      <c r="D63" s="405">
        <f t="shared" ref="D63:D99" si="5">B63*C63</f>
        <v>1000</v>
      </c>
      <c r="E63" s="403">
        <f t="shared" ref="E63:F75" si="6">D63*1.04</f>
        <v>1040</v>
      </c>
      <c r="F63" s="403">
        <f t="shared" si="6"/>
        <v>1081.6000000000001</v>
      </c>
    </row>
    <row r="64" spans="1:6" s="102" customFormat="1" x14ac:dyDescent="0.25">
      <c r="A64" s="419" t="s">
        <v>952</v>
      </c>
      <c r="B64" s="415">
        <v>100</v>
      </c>
      <c r="C64" s="342">
        <v>10</v>
      </c>
      <c r="D64" s="405">
        <f t="shared" si="5"/>
        <v>1000</v>
      </c>
      <c r="E64" s="403">
        <f t="shared" si="6"/>
        <v>1040</v>
      </c>
      <c r="F64" s="403">
        <f t="shared" si="6"/>
        <v>1081.6000000000001</v>
      </c>
    </row>
    <row r="65" spans="1:6" s="102" customFormat="1" x14ac:dyDescent="0.25">
      <c r="A65" s="419" t="s">
        <v>953</v>
      </c>
      <c r="B65" s="415">
        <v>150</v>
      </c>
      <c r="C65" s="342">
        <v>0</v>
      </c>
      <c r="D65" s="405">
        <f t="shared" si="5"/>
        <v>0</v>
      </c>
      <c r="E65" s="403">
        <f t="shared" si="6"/>
        <v>0</v>
      </c>
      <c r="F65" s="403">
        <f t="shared" si="6"/>
        <v>0</v>
      </c>
    </row>
    <row r="66" spans="1:6" s="102" customFormat="1" x14ac:dyDescent="0.25">
      <c r="A66" s="419" t="s">
        <v>954</v>
      </c>
      <c r="B66" s="415">
        <v>90</v>
      </c>
      <c r="C66" s="342">
        <v>10</v>
      </c>
      <c r="D66" s="405">
        <f t="shared" si="5"/>
        <v>900</v>
      </c>
      <c r="E66" s="403">
        <f t="shared" si="6"/>
        <v>936</v>
      </c>
      <c r="F66" s="403">
        <f t="shared" si="6"/>
        <v>973.44</v>
      </c>
    </row>
    <row r="67" spans="1:6" s="102" customFormat="1" x14ac:dyDescent="0.25">
      <c r="A67" s="420" t="s">
        <v>955</v>
      </c>
      <c r="B67" s="415">
        <v>70</v>
      </c>
      <c r="C67" s="342">
        <v>10</v>
      </c>
      <c r="D67" s="405">
        <f t="shared" si="5"/>
        <v>700</v>
      </c>
      <c r="E67" s="403">
        <f t="shared" si="6"/>
        <v>728</v>
      </c>
      <c r="F67" s="403">
        <f t="shared" si="6"/>
        <v>757.12</v>
      </c>
    </row>
    <row r="68" spans="1:6" s="102" customFormat="1" x14ac:dyDescent="0.25">
      <c r="A68" s="419" t="s">
        <v>956</v>
      </c>
      <c r="B68" s="415">
        <v>60</v>
      </c>
      <c r="C68" s="342">
        <v>30</v>
      </c>
      <c r="D68" s="405">
        <f t="shared" si="5"/>
        <v>1800</v>
      </c>
      <c r="E68" s="403">
        <f t="shared" si="6"/>
        <v>1872</v>
      </c>
      <c r="F68" s="403">
        <f t="shared" si="6"/>
        <v>1946.88</v>
      </c>
    </row>
    <row r="69" spans="1:6" s="102" customFormat="1" x14ac:dyDescent="0.25">
      <c r="A69" s="419" t="s">
        <v>957</v>
      </c>
      <c r="B69" s="415">
        <v>30</v>
      </c>
      <c r="C69" s="342">
        <v>5</v>
      </c>
      <c r="D69" s="405">
        <f t="shared" si="5"/>
        <v>150</v>
      </c>
      <c r="E69" s="403">
        <f t="shared" si="6"/>
        <v>156</v>
      </c>
      <c r="F69" s="403">
        <f t="shared" si="6"/>
        <v>162.24</v>
      </c>
    </row>
    <row r="70" spans="1:6" s="102" customFormat="1" x14ac:dyDescent="0.25">
      <c r="A70" s="424" t="s">
        <v>958</v>
      </c>
      <c r="B70" s="415">
        <v>25</v>
      </c>
      <c r="C70" s="342">
        <v>100</v>
      </c>
      <c r="D70" s="405">
        <f t="shared" si="5"/>
        <v>2500</v>
      </c>
      <c r="E70" s="403">
        <f t="shared" si="6"/>
        <v>2600</v>
      </c>
      <c r="F70" s="403">
        <f t="shared" si="6"/>
        <v>2704</v>
      </c>
    </row>
    <row r="71" spans="1:6" s="102" customFormat="1" x14ac:dyDescent="0.25">
      <c r="A71" s="419" t="s">
        <v>959</v>
      </c>
      <c r="B71" s="415">
        <v>40</v>
      </c>
      <c r="C71" s="342">
        <v>25</v>
      </c>
      <c r="D71" s="405">
        <f t="shared" si="5"/>
        <v>1000</v>
      </c>
      <c r="E71" s="403">
        <f t="shared" si="6"/>
        <v>1040</v>
      </c>
      <c r="F71" s="403">
        <f t="shared" si="6"/>
        <v>1081.6000000000001</v>
      </c>
    </row>
    <row r="72" spans="1:6" s="102" customFormat="1" x14ac:dyDescent="0.25">
      <c r="A72" s="419" t="s">
        <v>960</v>
      </c>
      <c r="B72" s="415">
        <v>140</v>
      </c>
      <c r="C72" s="342">
        <v>5</v>
      </c>
      <c r="D72" s="405">
        <f t="shared" si="5"/>
        <v>700</v>
      </c>
      <c r="E72" s="403">
        <f t="shared" si="6"/>
        <v>728</v>
      </c>
      <c r="F72" s="403">
        <f t="shared" si="6"/>
        <v>757.12</v>
      </c>
    </row>
    <row r="73" spans="1:6" s="102" customFormat="1" x14ac:dyDescent="0.25">
      <c r="A73" s="419" t="s">
        <v>961</v>
      </c>
      <c r="B73" s="415">
        <v>50</v>
      </c>
      <c r="C73" s="342">
        <v>30</v>
      </c>
      <c r="D73" s="405">
        <f t="shared" si="5"/>
        <v>1500</v>
      </c>
      <c r="E73" s="403">
        <f t="shared" si="6"/>
        <v>1560</v>
      </c>
      <c r="F73" s="403">
        <f t="shared" si="6"/>
        <v>1622.4</v>
      </c>
    </row>
    <row r="74" spans="1:6" s="102" customFormat="1" x14ac:dyDescent="0.25">
      <c r="A74" s="420" t="s">
        <v>962</v>
      </c>
      <c r="B74" s="415">
        <v>210</v>
      </c>
      <c r="C74" s="342">
        <v>5</v>
      </c>
      <c r="D74" s="405">
        <f t="shared" si="5"/>
        <v>1050</v>
      </c>
      <c r="E74" s="403">
        <f t="shared" si="6"/>
        <v>1092</v>
      </c>
      <c r="F74" s="403">
        <f t="shared" si="6"/>
        <v>1135.68</v>
      </c>
    </row>
    <row r="75" spans="1:6" s="102" customFormat="1" x14ac:dyDescent="0.25">
      <c r="A75" s="419" t="s">
        <v>768</v>
      </c>
      <c r="B75" s="415">
        <v>500</v>
      </c>
      <c r="C75" s="342">
        <v>3</v>
      </c>
      <c r="D75" s="405">
        <f t="shared" si="5"/>
        <v>1500</v>
      </c>
      <c r="E75" s="403">
        <f t="shared" si="6"/>
        <v>1560</v>
      </c>
      <c r="F75" s="403">
        <f t="shared" si="6"/>
        <v>1622.4</v>
      </c>
    </row>
    <row r="76" spans="1:6" s="102" customFormat="1" x14ac:dyDescent="0.25">
      <c r="A76" s="322" t="s">
        <v>963</v>
      </c>
      <c r="B76" s="415">
        <v>500</v>
      </c>
      <c r="C76" s="99">
        <v>1</v>
      </c>
      <c r="D76" s="405">
        <f t="shared" si="5"/>
        <v>500</v>
      </c>
      <c r="E76" s="403">
        <f t="shared" ref="E76:F84" si="7">D76*1.04</f>
        <v>520</v>
      </c>
      <c r="F76" s="403">
        <f t="shared" si="7"/>
        <v>540.80000000000007</v>
      </c>
    </row>
    <row r="77" spans="1:6" s="102" customFormat="1" x14ac:dyDescent="0.25">
      <c r="A77" s="322" t="s">
        <v>964</v>
      </c>
      <c r="B77" s="415">
        <v>400</v>
      </c>
      <c r="C77" s="99">
        <v>5</v>
      </c>
      <c r="D77" s="405">
        <f t="shared" si="5"/>
        <v>2000</v>
      </c>
      <c r="E77" s="403">
        <f t="shared" si="7"/>
        <v>2080</v>
      </c>
      <c r="F77" s="403">
        <f t="shared" si="7"/>
        <v>2163.2000000000003</v>
      </c>
    </row>
    <row r="78" spans="1:6" s="102" customFormat="1" x14ac:dyDescent="0.25">
      <c r="A78" s="322" t="s">
        <v>965</v>
      </c>
      <c r="B78" s="415">
        <v>150</v>
      </c>
      <c r="C78" s="99">
        <v>4</v>
      </c>
      <c r="D78" s="405">
        <f t="shared" si="5"/>
        <v>600</v>
      </c>
      <c r="E78" s="403">
        <f t="shared" si="7"/>
        <v>624</v>
      </c>
      <c r="F78" s="403">
        <f t="shared" si="7"/>
        <v>648.96</v>
      </c>
    </row>
    <row r="79" spans="1:6" s="102" customFormat="1" x14ac:dyDescent="0.25">
      <c r="A79" s="322" t="s">
        <v>966</v>
      </c>
      <c r="B79" s="415">
        <v>20</v>
      </c>
      <c r="C79" s="99">
        <v>5</v>
      </c>
      <c r="D79" s="405">
        <f t="shared" si="5"/>
        <v>100</v>
      </c>
      <c r="E79" s="403">
        <f t="shared" si="7"/>
        <v>104</v>
      </c>
      <c r="F79" s="403">
        <f t="shared" si="7"/>
        <v>108.16</v>
      </c>
    </row>
    <row r="80" spans="1:6" s="102" customFormat="1" x14ac:dyDescent="0.25">
      <c r="A80" s="322" t="s">
        <v>967</v>
      </c>
      <c r="B80" s="415">
        <v>1900</v>
      </c>
      <c r="C80" s="365">
        <v>0</v>
      </c>
      <c r="D80" s="405">
        <f t="shared" si="5"/>
        <v>0</v>
      </c>
      <c r="E80" s="403">
        <f t="shared" si="7"/>
        <v>0</v>
      </c>
      <c r="F80" s="403">
        <f t="shared" si="7"/>
        <v>0</v>
      </c>
    </row>
    <row r="81" spans="1:6" s="102" customFormat="1" x14ac:dyDescent="0.25">
      <c r="A81" s="421" t="s">
        <v>968</v>
      </c>
      <c r="B81" s="415">
        <v>1300</v>
      </c>
      <c r="C81" s="342">
        <v>0</v>
      </c>
      <c r="D81" s="405">
        <f t="shared" si="5"/>
        <v>0</v>
      </c>
      <c r="E81" s="403">
        <f t="shared" si="7"/>
        <v>0</v>
      </c>
      <c r="F81" s="403">
        <f t="shared" si="7"/>
        <v>0</v>
      </c>
    </row>
    <row r="82" spans="1:6" s="102" customFormat="1" x14ac:dyDescent="0.25">
      <c r="A82" s="421" t="s">
        <v>969</v>
      </c>
      <c r="B82" s="415">
        <v>2000</v>
      </c>
      <c r="C82" s="342">
        <v>1</v>
      </c>
      <c r="D82" s="405">
        <f t="shared" si="5"/>
        <v>2000</v>
      </c>
      <c r="E82" s="403">
        <f t="shared" si="7"/>
        <v>2080</v>
      </c>
      <c r="F82" s="403">
        <f t="shared" si="7"/>
        <v>2163.2000000000003</v>
      </c>
    </row>
    <row r="83" spans="1:6" s="102" customFormat="1" x14ac:dyDescent="0.25">
      <c r="A83" s="421" t="s">
        <v>970</v>
      </c>
      <c r="B83" s="415">
        <v>2600</v>
      </c>
      <c r="C83" s="342">
        <v>1</v>
      </c>
      <c r="D83" s="405">
        <f t="shared" si="5"/>
        <v>2600</v>
      </c>
      <c r="E83" s="403">
        <f t="shared" si="7"/>
        <v>2704</v>
      </c>
      <c r="F83" s="403">
        <f t="shared" si="7"/>
        <v>2812.1600000000003</v>
      </c>
    </row>
    <row r="84" spans="1:6" s="102" customFormat="1" x14ac:dyDescent="0.25">
      <c r="A84" s="421" t="s">
        <v>971</v>
      </c>
      <c r="B84" s="415">
        <v>2800</v>
      </c>
      <c r="C84" s="342">
        <v>1</v>
      </c>
      <c r="D84" s="405">
        <f t="shared" si="5"/>
        <v>2800</v>
      </c>
      <c r="E84" s="403">
        <f t="shared" si="7"/>
        <v>2912</v>
      </c>
      <c r="F84" s="403">
        <f t="shared" si="7"/>
        <v>3028.48</v>
      </c>
    </row>
    <row r="85" spans="1:6" s="102" customFormat="1" x14ac:dyDescent="0.25">
      <c r="A85" s="421" t="s">
        <v>972</v>
      </c>
      <c r="B85" s="415">
        <v>3300</v>
      </c>
      <c r="C85" s="342">
        <v>1</v>
      </c>
      <c r="D85" s="405">
        <f t="shared" si="5"/>
        <v>3300</v>
      </c>
      <c r="E85" s="403">
        <f t="shared" ref="E85:F86" si="8">D85*1.04</f>
        <v>3432</v>
      </c>
      <c r="F85" s="403">
        <f t="shared" si="8"/>
        <v>3569.28</v>
      </c>
    </row>
    <row r="86" spans="1:6" s="102" customFormat="1" x14ac:dyDescent="0.25">
      <c r="A86" s="421" t="s">
        <v>973</v>
      </c>
      <c r="B86" s="415">
        <v>1000</v>
      </c>
      <c r="C86" s="342">
        <v>1</v>
      </c>
      <c r="D86" s="405">
        <f t="shared" si="5"/>
        <v>1000</v>
      </c>
      <c r="E86" s="403">
        <f t="shared" si="8"/>
        <v>1040</v>
      </c>
      <c r="F86" s="403">
        <f t="shared" si="8"/>
        <v>1081.6000000000001</v>
      </c>
    </row>
    <row r="87" spans="1:6" s="102" customFormat="1" x14ac:dyDescent="0.25">
      <c r="A87" s="421" t="s">
        <v>974</v>
      </c>
      <c r="B87" s="411">
        <v>800</v>
      </c>
      <c r="C87" s="414">
        <v>6</v>
      </c>
      <c r="D87" s="405">
        <f t="shared" si="5"/>
        <v>4800</v>
      </c>
      <c r="E87" s="403">
        <f t="shared" ref="E87:F99" si="9">D87*1.04</f>
        <v>4992</v>
      </c>
      <c r="F87" s="403">
        <f t="shared" si="9"/>
        <v>5191.68</v>
      </c>
    </row>
    <row r="88" spans="1:6" s="102" customFormat="1" x14ac:dyDescent="0.25">
      <c r="A88" s="421" t="s">
        <v>975</v>
      </c>
      <c r="B88" s="411">
        <v>240</v>
      </c>
      <c r="C88" s="414">
        <v>6</v>
      </c>
      <c r="D88" s="405">
        <f t="shared" si="5"/>
        <v>1440</v>
      </c>
      <c r="E88" s="403">
        <f t="shared" si="9"/>
        <v>1497.6000000000001</v>
      </c>
      <c r="F88" s="403">
        <f t="shared" si="9"/>
        <v>1557.5040000000001</v>
      </c>
    </row>
    <row r="89" spans="1:6" s="102" customFormat="1" x14ac:dyDescent="0.25">
      <c r="A89" s="421" t="s">
        <v>976</v>
      </c>
      <c r="B89" s="411">
        <v>340</v>
      </c>
      <c r="C89" s="414">
        <v>6</v>
      </c>
      <c r="D89" s="405">
        <f t="shared" si="5"/>
        <v>2040</v>
      </c>
      <c r="E89" s="403">
        <f t="shared" si="9"/>
        <v>2121.6</v>
      </c>
      <c r="F89" s="403">
        <f t="shared" si="9"/>
        <v>2206.4639999999999</v>
      </c>
    </row>
    <row r="90" spans="1:6" s="102" customFormat="1" x14ac:dyDescent="0.25">
      <c r="A90" s="421" t="s">
        <v>977</v>
      </c>
      <c r="B90" s="411">
        <v>180</v>
      </c>
      <c r="C90" s="414">
        <v>6</v>
      </c>
      <c r="D90" s="405">
        <f t="shared" si="5"/>
        <v>1080</v>
      </c>
      <c r="E90" s="403">
        <f t="shared" si="9"/>
        <v>1123.2</v>
      </c>
      <c r="F90" s="403">
        <f t="shared" si="9"/>
        <v>1168.1280000000002</v>
      </c>
    </row>
    <row r="91" spans="1:6" s="102" customFormat="1" x14ac:dyDescent="0.25">
      <c r="A91" s="421" t="s">
        <v>978</v>
      </c>
      <c r="B91" s="411">
        <v>280</v>
      </c>
      <c r="C91" s="414">
        <v>6</v>
      </c>
      <c r="D91" s="405">
        <f t="shared" si="5"/>
        <v>1680</v>
      </c>
      <c r="E91" s="403">
        <f t="shared" si="9"/>
        <v>1747.2</v>
      </c>
      <c r="F91" s="403">
        <f t="shared" si="9"/>
        <v>1817.0880000000002</v>
      </c>
    </row>
    <row r="92" spans="1:6" s="102" customFormat="1" x14ac:dyDescent="0.25">
      <c r="A92" s="421" t="s">
        <v>979</v>
      </c>
      <c r="B92" s="411">
        <v>280</v>
      </c>
      <c r="C92" s="414">
        <v>6</v>
      </c>
      <c r="D92" s="405">
        <f t="shared" si="5"/>
        <v>1680</v>
      </c>
      <c r="E92" s="403">
        <f t="shared" si="9"/>
        <v>1747.2</v>
      </c>
      <c r="F92" s="403">
        <f t="shared" si="9"/>
        <v>1817.0880000000002</v>
      </c>
    </row>
    <row r="93" spans="1:6" s="102" customFormat="1" x14ac:dyDescent="0.25">
      <c r="A93" s="421" t="s">
        <v>980</v>
      </c>
      <c r="B93" s="411">
        <v>340</v>
      </c>
      <c r="C93" s="414">
        <v>6</v>
      </c>
      <c r="D93" s="405">
        <f t="shared" si="5"/>
        <v>2040</v>
      </c>
      <c r="E93" s="403">
        <f t="shared" si="9"/>
        <v>2121.6</v>
      </c>
      <c r="F93" s="403">
        <f t="shared" si="9"/>
        <v>2206.4639999999999</v>
      </c>
    </row>
    <row r="94" spans="1:6" s="102" customFormat="1" x14ac:dyDescent="0.25">
      <c r="A94" s="421" t="s">
        <v>981</v>
      </c>
      <c r="B94" s="411">
        <v>180</v>
      </c>
      <c r="C94" s="414">
        <v>6</v>
      </c>
      <c r="D94" s="405">
        <f t="shared" si="5"/>
        <v>1080</v>
      </c>
      <c r="E94" s="403">
        <f t="shared" si="9"/>
        <v>1123.2</v>
      </c>
      <c r="F94" s="403">
        <f t="shared" si="9"/>
        <v>1168.1280000000002</v>
      </c>
    </row>
    <row r="95" spans="1:6" s="102" customFormat="1" x14ac:dyDescent="0.25">
      <c r="A95" s="421" t="s">
        <v>978</v>
      </c>
      <c r="B95" s="411">
        <v>280</v>
      </c>
      <c r="C95" s="414">
        <v>5</v>
      </c>
      <c r="D95" s="405">
        <f t="shared" si="5"/>
        <v>1400</v>
      </c>
      <c r="E95" s="403">
        <f t="shared" si="9"/>
        <v>1456</v>
      </c>
      <c r="F95" s="403">
        <f t="shared" si="9"/>
        <v>1514.24</v>
      </c>
    </row>
    <row r="96" spans="1:6" s="102" customFormat="1" x14ac:dyDescent="0.25">
      <c r="A96" s="421" t="s">
        <v>979</v>
      </c>
      <c r="B96" s="411">
        <v>280</v>
      </c>
      <c r="C96" s="414">
        <v>5</v>
      </c>
      <c r="D96" s="405">
        <f t="shared" si="5"/>
        <v>1400</v>
      </c>
      <c r="E96" s="403">
        <f t="shared" si="9"/>
        <v>1456</v>
      </c>
      <c r="F96" s="403">
        <f t="shared" si="9"/>
        <v>1514.24</v>
      </c>
    </row>
    <row r="97" spans="1:6" s="102" customFormat="1" x14ac:dyDescent="0.25">
      <c r="A97" s="421" t="s">
        <v>980</v>
      </c>
      <c r="B97" s="411">
        <v>340</v>
      </c>
      <c r="C97" s="414">
        <v>5</v>
      </c>
      <c r="D97" s="405">
        <f t="shared" si="5"/>
        <v>1700</v>
      </c>
      <c r="E97" s="403">
        <f t="shared" si="9"/>
        <v>1768</v>
      </c>
      <c r="F97" s="403">
        <f t="shared" si="9"/>
        <v>1838.72</v>
      </c>
    </row>
    <row r="98" spans="1:6" s="102" customFormat="1" x14ac:dyDescent="0.25">
      <c r="A98" s="421" t="s">
        <v>981</v>
      </c>
      <c r="B98" s="411">
        <v>180</v>
      </c>
      <c r="C98" s="414">
        <v>5</v>
      </c>
      <c r="D98" s="405">
        <f t="shared" si="5"/>
        <v>900</v>
      </c>
      <c r="E98" s="403">
        <f t="shared" si="9"/>
        <v>936</v>
      </c>
      <c r="F98" s="403">
        <f t="shared" si="9"/>
        <v>973.44</v>
      </c>
    </row>
    <row r="99" spans="1:6" s="102" customFormat="1" x14ac:dyDescent="0.25">
      <c r="A99" s="421" t="s">
        <v>982</v>
      </c>
      <c r="B99" s="411">
        <v>750</v>
      </c>
      <c r="C99" s="414">
        <v>5</v>
      </c>
      <c r="D99" s="405">
        <f t="shared" si="5"/>
        <v>3750</v>
      </c>
      <c r="E99" s="403">
        <f t="shared" si="9"/>
        <v>3900</v>
      </c>
      <c r="F99" s="403">
        <f t="shared" si="9"/>
        <v>4056</v>
      </c>
    </row>
    <row r="100" spans="1:6" s="102" customFormat="1" x14ac:dyDescent="0.25">
      <c r="A100" s="421" t="s">
        <v>983</v>
      </c>
      <c r="B100" s="411">
        <v>180</v>
      </c>
      <c r="C100" s="414">
        <v>5</v>
      </c>
      <c r="D100" s="405">
        <f t="shared" ref="D100:D163" si="10">B100*C100</f>
        <v>900</v>
      </c>
      <c r="E100" s="403">
        <f t="shared" ref="E100:F115" si="11">D100*1.04</f>
        <v>936</v>
      </c>
      <c r="F100" s="403">
        <f t="shared" si="11"/>
        <v>973.44</v>
      </c>
    </row>
    <row r="101" spans="1:6" s="102" customFormat="1" x14ac:dyDescent="0.25">
      <c r="A101" s="421" t="s">
        <v>978</v>
      </c>
      <c r="B101" s="411">
        <v>280</v>
      </c>
      <c r="C101" s="414">
        <v>4</v>
      </c>
      <c r="D101" s="405">
        <f t="shared" si="10"/>
        <v>1120</v>
      </c>
      <c r="E101" s="403">
        <f t="shared" si="11"/>
        <v>1164.8</v>
      </c>
      <c r="F101" s="403">
        <f t="shared" si="11"/>
        <v>1211.3920000000001</v>
      </c>
    </row>
    <row r="102" spans="1:6" s="102" customFormat="1" x14ac:dyDescent="0.25">
      <c r="A102" s="421" t="s">
        <v>979</v>
      </c>
      <c r="B102" s="411">
        <v>380</v>
      </c>
      <c r="C102" s="414">
        <v>4</v>
      </c>
      <c r="D102" s="405">
        <f t="shared" si="10"/>
        <v>1520</v>
      </c>
      <c r="E102" s="403">
        <f t="shared" si="11"/>
        <v>1580.8</v>
      </c>
      <c r="F102" s="403">
        <f t="shared" si="11"/>
        <v>1644.0319999999999</v>
      </c>
    </row>
    <row r="103" spans="1:6" s="102" customFormat="1" x14ac:dyDescent="0.25">
      <c r="A103" s="421" t="s">
        <v>980</v>
      </c>
      <c r="B103" s="411">
        <v>340</v>
      </c>
      <c r="C103" s="414">
        <v>4</v>
      </c>
      <c r="D103" s="405">
        <f t="shared" si="10"/>
        <v>1360</v>
      </c>
      <c r="E103" s="403">
        <f t="shared" si="11"/>
        <v>1414.4</v>
      </c>
      <c r="F103" s="403">
        <f t="shared" si="11"/>
        <v>1470.9760000000001</v>
      </c>
    </row>
    <row r="104" spans="1:6" s="102" customFormat="1" x14ac:dyDescent="0.25">
      <c r="A104" s="421" t="s">
        <v>981</v>
      </c>
      <c r="B104" s="411">
        <v>180</v>
      </c>
      <c r="C104" s="414">
        <v>4</v>
      </c>
      <c r="D104" s="405">
        <f t="shared" si="10"/>
        <v>720</v>
      </c>
      <c r="E104" s="403">
        <f t="shared" si="11"/>
        <v>748.80000000000007</v>
      </c>
      <c r="F104" s="403">
        <f t="shared" si="11"/>
        <v>778.75200000000007</v>
      </c>
    </row>
    <row r="105" spans="1:6" s="102" customFormat="1" x14ac:dyDescent="0.25">
      <c r="A105" s="421" t="s">
        <v>984</v>
      </c>
      <c r="B105" s="411">
        <v>750</v>
      </c>
      <c r="C105" s="414">
        <v>4</v>
      </c>
      <c r="D105" s="405">
        <f t="shared" si="10"/>
        <v>3000</v>
      </c>
      <c r="E105" s="403">
        <f t="shared" si="11"/>
        <v>3120</v>
      </c>
      <c r="F105" s="403">
        <f t="shared" si="11"/>
        <v>3244.8</v>
      </c>
    </row>
    <row r="106" spans="1:6" s="102" customFormat="1" x14ac:dyDescent="0.25">
      <c r="A106" s="421" t="s">
        <v>983</v>
      </c>
      <c r="B106" s="411">
        <v>180</v>
      </c>
      <c r="C106" s="414">
        <v>4</v>
      </c>
      <c r="D106" s="405">
        <f t="shared" si="10"/>
        <v>720</v>
      </c>
      <c r="E106" s="403">
        <f t="shared" si="11"/>
        <v>748.80000000000007</v>
      </c>
      <c r="F106" s="403">
        <f t="shared" si="11"/>
        <v>778.75200000000007</v>
      </c>
    </row>
    <row r="107" spans="1:6" s="102" customFormat="1" x14ac:dyDescent="0.25">
      <c r="A107" s="421" t="s">
        <v>985</v>
      </c>
      <c r="B107" s="411">
        <v>200</v>
      </c>
      <c r="C107" s="414">
        <v>4</v>
      </c>
      <c r="D107" s="405">
        <f t="shared" si="10"/>
        <v>800</v>
      </c>
      <c r="E107" s="403">
        <f t="shared" si="11"/>
        <v>832</v>
      </c>
      <c r="F107" s="403">
        <f t="shared" si="11"/>
        <v>865.28</v>
      </c>
    </row>
    <row r="108" spans="1:6" s="102" customFormat="1" x14ac:dyDescent="0.25">
      <c r="A108" s="421" t="s">
        <v>986</v>
      </c>
      <c r="B108" s="411">
        <v>140</v>
      </c>
      <c r="C108" s="414">
        <v>5</v>
      </c>
      <c r="D108" s="405">
        <f t="shared" si="10"/>
        <v>700</v>
      </c>
      <c r="E108" s="403">
        <f t="shared" si="11"/>
        <v>728</v>
      </c>
      <c r="F108" s="403">
        <f t="shared" si="11"/>
        <v>757.12</v>
      </c>
    </row>
    <row r="109" spans="1:6" s="102" customFormat="1" x14ac:dyDescent="0.25">
      <c r="A109" s="421" t="s">
        <v>987</v>
      </c>
      <c r="B109" s="411">
        <v>180</v>
      </c>
      <c r="C109" s="414">
        <v>5</v>
      </c>
      <c r="D109" s="405">
        <f t="shared" si="10"/>
        <v>900</v>
      </c>
      <c r="E109" s="403">
        <f t="shared" si="11"/>
        <v>936</v>
      </c>
      <c r="F109" s="403">
        <f t="shared" si="11"/>
        <v>973.44</v>
      </c>
    </row>
    <row r="110" spans="1:6" s="102" customFormat="1" x14ac:dyDescent="0.25">
      <c r="A110" s="421" t="s">
        <v>979</v>
      </c>
      <c r="B110" s="411">
        <v>380</v>
      </c>
      <c r="C110" s="414">
        <v>5</v>
      </c>
      <c r="D110" s="405">
        <f t="shared" si="10"/>
        <v>1900</v>
      </c>
      <c r="E110" s="403">
        <f t="shared" si="11"/>
        <v>1976</v>
      </c>
      <c r="F110" s="403">
        <f t="shared" si="11"/>
        <v>2055.04</v>
      </c>
    </row>
    <row r="111" spans="1:6" s="102" customFormat="1" ht="30" x14ac:dyDescent="0.25">
      <c r="A111" s="421" t="s">
        <v>988</v>
      </c>
      <c r="B111" s="411">
        <v>240</v>
      </c>
      <c r="C111" s="414">
        <v>5</v>
      </c>
      <c r="D111" s="405">
        <f t="shared" si="10"/>
        <v>1200</v>
      </c>
      <c r="E111" s="403">
        <f t="shared" si="11"/>
        <v>1248</v>
      </c>
      <c r="F111" s="403">
        <f t="shared" si="11"/>
        <v>1297.92</v>
      </c>
    </row>
    <row r="112" spans="1:6" s="102" customFormat="1" x14ac:dyDescent="0.25">
      <c r="A112" s="421" t="s">
        <v>982</v>
      </c>
      <c r="B112" s="411">
        <v>750</v>
      </c>
      <c r="C112" s="414">
        <v>5</v>
      </c>
      <c r="D112" s="405">
        <f t="shared" si="10"/>
        <v>3750</v>
      </c>
      <c r="E112" s="403">
        <f t="shared" si="11"/>
        <v>3900</v>
      </c>
      <c r="F112" s="403">
        <f t="shared" si="11"/>
        <v>4056</v>
      </c>
    </row>
    <row r="113" spans="1:6" s="102" customFormat="1" x14ac:dyDescent="0.25">
      <c r="A113" s="421" t="s">
        <v>989</v>
      </c>
      <c r="B113" s="411">
        <v>150</v>
      </c>
      <c r="C113" s="414">
        <v>5</v>
      </c>
      <c r="D113" s="405">
        <f t="shared" si="10"/>
        <v>750</v>
      </c>
      <c r="E113" s="403">
        <f t="shared" si="11"/>
        <v>780</v>
      </c>
      <c r="F113" s="403">
        <f t="shared" si="11"/>
        <v>811.2</v>
      </c>
    </row>
    <row r="114" spans="1:6" s="102" customFormat="1" x14ac:dyDescent="0.25">
      <c r="A114" s="421" t="s">
        <v>990</v>
      </c>
      <c r="B114" s="411">
        <v>60</v>
      </c>
      <c r="C114" s="414">
        <v>5</v>
      </c>
      <c r="D114" s="405">
        <f t="shared" si="10"/>
        <v>300</v>
      </c>
      <c r="E114" s="403">
        <f t="shared" si="11"/>
        <v>312</v>
      </c>
      <c r="F114" s="403">
        <f t="shared" si="11"/>
        <v>324.48</v>
      </c>
    </row>
    <row r="115" spans="1:6" s="102" customFormat="1" x14ac:dyDescent="0.25">
      <c r="A115" s="421" t="s">
        <v>981</v>
      </c>
      <c r="B115" s="411">
        <v>180</v>
      </c>
      <c r="C115" s="414">
        <v>5</v>
      </c>
      <c r="D115" s="405">
        <f t="shared" si="10"/>
        <v>900</v>
      </c>
      <c r="E115" s="403">
        <f t="shared" si="11"/>
        <v>936</v>
      </c>
      <c r="F115" s="403">
        <f t="shared" si="11"/>
        <v>973.44</v>
      </c>
    </row>
    <row r="116" spans="1:6" s="102" customFormat="1" x14ac:dyDescent="0.25">
      <c r="A116" s="421" t="s">
        <v>986</v>
      </c>
      <c r="B116" s="411">
        <v>140</v>
      </c>
      <c r="C116" s="414">
        <v>5</v>
      </c>
      <c r="D116" s="405">
        <f t="shared" si="10"/>
        <v>700</v>
      </c>
      <c r="E116" s="403">
        <f t="shared" ref="E116:F131" si="12">D116*1.04</f>
        <v>728</v>
      </c>
      <c r="F116" s="403">
        <f t="shared" si="12"/>
        <v>757.12</v>
      </c>
    </row>
    <row r="117" spans="1:6" s="102" customFormat="1" x14ac:dyDescent="0.25">
      <c r="A117" s="421" t="s">
        <v>979</v>
      </c>
      <c r="B117" s="411">
        <v>570</v>
      </c>
      <c r="C117" s="414">
        <v>5</v>
      </c>
      <c r="D117" s="405">
        <f t="shared" si="10"/>
        <v>2850</v>
      </c>
      <c r="E117" s="403">
        <f t="shared" si="12"/>
        <v>2964</v>
      </c>
      <c r="F117" s="403">
        <f t="shared" si="12"/>
        <v>3082.56</v>
      </c>
    </row>
    <row r="118" spans="1:6" s="102" customFormat="1" x14ac:dyDescent="0.25">
      <c r="A118" s="421" t="s">
        <v>987</v>
      </c>
      <c r="B118" s="411">
        <v>200</v>
      </c>
      <c r="C118" s="414">
        <v>5</v>
      </c>
      <c r="D118" s="405">
        <f t="shared" si="10"/>
        <v>1000</v>
      </c>
      <c r="E118" s="403">
        <f t="shared" si="12"/>
        <v>1040</v>
      </c>
      <c r="F118" s="403">
        <f t="shared" si="12"/>
        <v>1081.6000000000001</v>
      </c>
    </row>
    <row r="119" spans="1:6" s="102" customFormat="1" x14ac:dyDescent="0.25">
      <c r="A119" s="421" t="s">
        <v>982</v>
      </c>
      <c r="B119" s="411">
        <v>390</v>
      </c>
      <c r="C119" s="414">
        <v>5</v>
      </c>
      <c r="D119" s="405">
        <f t="shared" si="10"/>
        <v>1950</v>
      </c>
      <c r="E119" s="403">
        <f t="shared" si="12"/>
        <v>2028</v>
      </c>
      <c r="F119" s="403">
        <f t="shared" si="12"/>
        <v>2109.12</v>
      </c>
    </row>
    <row r="120" spans="1:6" s="102" customFormat="1" x14ac:dyDescent="0.25">
      <c r="A120" s="421" t="s">
        <v>983</v>
      </c>
      <c r="B120" s="411">
        <v>280</v>
      </c>
      <c r="C120" s="414">
        <v>5</v>
      </c>
      <c r="D120" s="405">
        <f t="shared" si="10"/>
        <v>1400</v>
      </c>
      <c r="E120" s="403">
        <f t="shared" si="12"/>
        <v>1456</v>
      </c>
      <c r="F120" s="403">
        <f t="shared" si="12"/>
        <v>1514.24</v>
      </c>
    </row>
    <row r="121" spans="1:6" s="102" customFormat="1" x14ac:dyDescent="0.25">
      <c r="A121" s="421" t="s">
        <v>989</v>
      </c>
      <c r="B121" s="411">
        <v>150</v>
      </c>
      <c r="C121" s="414">
        <v>5</v>
      </c>
      <c r="D121" s="405">
        <f t="shared" si="10"/>
        <v>750</v>
      </c>
      <c r="E121" s="403">
        <f t="shared" si="12"/>
        <v>780</v>
      </c>
      <c r="F121" s="403">
        <f t="shared" si="12"/>
        <v>811.2</v>
      </c>
    </row>
    <row r="122" spans="1:6" s="102" customFormat="1" x14ac:dyDescent="0.25">
      <c r="A122" s="421" t="s">
        <v>990</v>
      </c>
      <c r="B122" s="411">
        <v>100</v>
      </c>
      <c r="C122" s="414">
        <v>5</v>
      </c>
      <c r="D122" s="405">
        <f t="shared" si="10"/>
        <v>500</v>
      </c>
      <c r="E122" s="403">
        <f t="shared" si="12"/>
        <v>520</v>
      </c>
      <c r="F122" s="403">
        <f t="shared" si="12"/>
        <v>540.80000000000007</v>
      </c>
    </row>
    <row r="123" spans="1:6" s="102" customFormat="1" x14ac:dyDescent="0.25">
      <c r="A123" s="421" t="s">
        <v>991</v>
      </c>
      <c r="B123" s="411">
        <v>120</v>
      </c>
      <c r="C123" s="414">
        <v>5</v>
      </c>
      <c r="D123" s="405">
        <f t="shared" si="10"/>
        <v>600</v>
      </c>
      <c r="E123" s="403">
        <f t="shared" si="12"/>
        <v>624</v>
      </c>
      <c r="F123" s="403">
        <f t="shared" si="12"/>
        <v>648.96</v>
      </c>
    </row>
    <row r="124" spans="1:6" s="102" customFormat="1" x14ac:dyDescent="0.25">
      <c r="A124" s="421" t="s">
        <v>992</v>
      </c>
      <c r="B124" s="411">
        <v>100</v>
      </c>
      <c r="C124" s="414">
        <v>5</v>
      </c>
      <c r="D124" s="405">
        <f t="shared" si="10"/>
        <v>500</v>
      </c>
      <c r="E124" s="403">
        <f t="shared" si="12"/>
        <v>520</v>
      </c>
      <c r="F124" s="403">
        <f t="shared" si="12"/>
        <v>540.80000000000007</v>
      </c>
    </row>
    <row r="125" spans="1:6" s="102" customFormat="1" x14ac:dyDescent="0.25">
      <c r="A125" s="421" t="s">
        <v>993</v>
      </c>
      <c r="B125" s="411">
        <v>180</v>
      </c>
      <c r="C125" s="414">
        <v>5</v>
      </c>
      <c r="D125" s="405">
        <f t="shared" si="10"/>
        <v>900</v>
      </c>
      <c r="E125" s="403">
        <f t="shared" si="12"/>
        <v>936</v>
      </c>
      <c r="F125" s="403">
        <f t="shared" si="12"/>
        <v>973.44</v>
      </c>
    </row>
    <row r="126" spans="1:6" s="102" customFormat="1" x14ac:dyDescent="0.25">
      <c r="A126" s="421" t="s">
        <v>986</v>
      </c>
      <c r="B126" s="411">
        <v>140</v>
      </c>
      <c r="C126" s="414">
        <v>5</v>
      </c>
      <c r="D126" s="405">
        <f t="shared" si="10"/>
        <v>700</v>
      </c>
      <c r="E126" s="403">
        <f t="shared" si="12"/>
        <v>728</v>
      </c>
      <c r="F126" s="403">
        <f t="shared" si="12"/>
        <v>757.12</v>
      </c>
    </row>
    <row r="127" spans="1:6" s="102" customFormat="1" x14ac:dyDescent="0.25">
      <c r="A127" s="421" t="s">
        <v>994</v>
      </c>
      <c r="B127" s="411">
        <v>380</v>
      </c>
      <c r="C127" s="414">
        <v>5</v>
      </c>
      <c r="D127" s="405">
        <f t="shared" si="10"/>
        <v>1900</v>
      </c>
      <c r="E127" s="403">
        <f t="shared" si="12"/>
        <v>1976</v>
      </c>
      <c r="F127" s="403">
        <f t="shared" si="12"/>
        <v>2055.04</v>
      </c>
    </row>
    <row r="128" spans="1:6" s="102" customFormat="1" x14ac:dyDescent="0.25">
      <c r="A128" s="421" t="s">
        <v>995</v>
      </c>
      <c r="B128" s="411">
        <v>380</v>
      </c>
      <c r="C128" s="414">
        <v>5</v>
      </c>
      <c r="D128" s="405">
        <f t="shared" si="10"/>
        <v>1900</v>
      </c>
      <c r="E128" s="403">
        <f t="shared" si="12"/>
        <v>1976</v>
      </c>
      <c r="F128" s="403">
        <f t="shared" si="12"/>
        <v>2055.04</v>
      </c>
    </row>
    <row r="129" spans="1:6" s="102" customFormat="1" x14ac:dyDescent="0.25">
      <c r="A129" s="421" t="s">
        <v>987</v>
      </c>
      <c r="B129" s="411">
        <v>200</v>
      </c>
      <c r="C129" s="414">
        <v>5</v>
      </c>
      <c r="D129" s="405">
        <f t="shared" si="10"/>
        <v>1000</v>
      </c>
      <c r="E129" s="403">
        <f t="shared" si="12"/>
        <v>1040</v>
      </c>
      <c r="F129" s="403">
        <f t="shared" si="12"/>
        <v>1081.6000000000001</v>
      </c>
    </row>
    <row r="130" spans="1:6" s="102" customFormat="1" x14ac:dyDescent="0.25">
      <c r="A130" s="421" t="s">
        <v>982</v>
      </c>
      <c r="B130" s="411">
        <v>340</v>
      </c>
      <c r="C130" s="414">
        <v>5</v>
      </c>
      <c r="D130" s="405">
        <f t="shared" si="10"/>
        <v>1700</v>
      </c>
      <c r="E130" s="403">
        <f t="shared" si="12"/>
        <v>1768</v>
      </c>
      <c r="F130" s="403">
        <f t="shared" si="12"/>
        <v>1838.72</v>
      </c>
    </row>
    <row r="131" spans="1:6" s="102" customFormat="1" x14ac:dyDescent="0.25">
      <c r="A131" s="421" t="s">
        <v>983</v>
      </c>
      <c r="B131" s="411">
        <v>180</v>
      </c>
      <c r="C131" s="414">
        <v>5</v>
      </c>
      <c r="D131" s="405">
        <f t="shared" si="10"/>
        <v>900</v>
      </c>
      <c r="E131" s="403">
        <f t="shared" si="12"/>
        <v>936</v>
      </c>
      <c r="F131" s="403">
        <f t="shared" si="12"/>
        <v>973.44</v>
      </c>
    </row>
    <row r="132" spans="1:6" s="102" customFormat="1" x14ac:dyDescent="0.25">
      <c r="A132" s="421" t="s">
        <v>996</v>
      </c>
      <c r="B132" s="411">
        <v>200</v>
      </c>
      <c r="C132" s="414">
        <v>5</v>
      </c>
      <c r="D132" s="405">
        <f t="shared" si="10"/>
        <v>1000</v>
      </c>
      <c r="E132" s="403">
        <f t="shared" ref="E132:F147" si="13">D132*1.04</f>
        <v>1040</v>
      </c>
      <c r="F132" s="403">
        <f t="shared" si="13"/>
        <v>1081.6000000000001</v>
      </c>
    </row>
    <row r="133" spans="1:6" s="102" customFormat="1" x14ac:dyDescent="0.25">
      <c r="A133" s="421" t="s">
        <v>989</v>
      </c>
      <c r="B133" s="411">
        <v>150</v>
      </c>
      <c r="C133" s="414">
        <v>5</v>
      </c>
      <c r="D133" s="405">
        <f t="shared" si="10"/>
        <v>750</v>
      </c>
      <c r="E133" s="403">
        <f t="shared" si="13"/>
        <v>780</v>
      </c>
      <c r="F133" s="403">
        <f t="shared" si="13"/>
        <v>811.2</v>
      </c>
    </row>
    <row r="134" spans="1:6" s="102" customFormat="1" x14ac:dyDescent="0.25">
      <c r="A134" s="421" t="s">
        <v>990</v>
      </c>
      <c r="B134" s="411">
        <v>60</v>
      </c>
      <c r="C134" s="414">
        <v>5</v>
      </c>
      <c r="D134" s="405">
        <f t="shared" si="10"/>
        <v>300</v>
      </c>
      <c r="E134" s="403">
        <f t="shared" si="13"/>
        <v>312</v>
      </c>
      <c r="F134" s="403">
        <f t="shared" si="13"/>
        <v>324.48</v>
      </c>
    </row>
    <row r="135" spans="1:6" s="102" customFormat="1" x14ac:dyDescent="0.25">
      <c r="A135" s="421" t="s">
        <v>997</v>
      </c>
      <c r="B135" s="411">
        <v>210</v>
      </c>
      <c r="C135" s="414">
        <v>5</v>
      </c>
      <c r="D135" s="405">
        <f t="shared" si="10"/>
        <v>1050</v>
      </c>
      <c r="E135" s="403">
        <f t="shared" si="13"/>
        <v>1092</v>
      </c>
      <c r="F135" s="403">
        <f t="shared" si="13"/>
        <v>1135.68</v>
      </c>
    </row>
    <row r="136" spans="1:6" s="102" customFormat="1" x14ac:dyDescent="0.25">
      <c r="A136" s="421" t="s">
        <v>991</v>
      </c>
      <c r="B136" s="411">
        <v>200</v>
      </c>
      <c r="C136" s="414">
        <v>5</v>
      </c>
      <c r="D136" s="405">
        <f t="shared" si="10"/>
        <v>1000</v>
      </c>
      <c r="E136" s="403">
        <f t="shared" si="13"/>
        <v>1040</v>
      </c>
      <c r="F136" s="403">
        <f t="shared" si="13"/>
        <v>1081.6000000000001</v>
      </c>
    </row>
    <row r="137" spans="1:6" s="102" customFormat="1" x14ac:dyDescent="0.25">
      <c r="A137" s="421" t="s">
        <v>992</v>
      </c>
      <c r="B137" s="411">
        <v>90</v>
      </c>
      <c r="C137" s="414">
        <v>5</v>
      </c>
      <c r="D137" s="405">
        <f t="shared" si="10"/>
        <v>450</v>
      </c>
      <c r="E137" s="403">
        <f t="shared" si="13"/>
        <v>468</v>
      </c>
      <c r="F137" s="403">
        <f t="shared" si="13"/>
        <v>486.72</v>
      </c>
    </row>
    <row r="138" spans="1:6" s="102" customFormat="1" x14ac:dyDescent="0.25">
      <c r="A138" s="421" t="s">
        <v>993</v>
      </c>
      <c r="B138" s="411">
        <v>250</v>
      </c>
      <c r="C138" s="414">
        <v>5</v>
      </c>
      <c r="D138" s="405">
        <f t="shared" si="10"/>
        <v>1250</v>
      </c>
      <c r="E138" s="403">
        <f t="shared" si="13"/>
        <v>1300</v>
      </c>
      <c r="F138" s="403">
        <f t="shared" si="13"/>
        <v>1352</v>
      </c>
    </row>
    <row r="139" spans="1:6" s="102" customFormat="1" x14ac:dyDescent="0.25">
      <c r="A139" s="421" t="s">
        <v>998</v>
      </c>
      <c r="B139" s="411">
        <v>210</v>
      </c>
      <c r="C139" s="414">
        <v>5</v>
      </c>
      <c r="D139" s="405">
        <f t="shared" si="10"/>
        <v>1050</v>
      </c>
      <c r="E139" s="403">
        <f t="shared" si="13"/>
        <v>1092</v>
      </c>
      <c r="F139" s="403">
        <f t="shared" si="13"/>
        <v>1135.68</v>
      </c>
    </row>
    <row r="140" spans="1:6" s="102" customFormat="1" x14ac:dyDescent="0.25">
      <c r="A140" s="421" t="s">
        <v>986</v>
      </c>
      <c r="B140" s="411">
        <v>140</v>
      </c>
      <c r="C140" s="414">
        <v>6</v>
      </c>
      <c r="D140" s="405">
        <f t="shared" si="10"/>
        <v>840</v>
      </c>
      <c r="E140" s="403">
        <f t="shared" si="13"/>
        <v>873.6</v>
      </c>
      <c r="F140" s="403">
        <f t="shared" si="13"/>
        <v>908.5440000000001</v>
      </c>
    </row>
    <row r="141" spans="1:6" s="102" customFormat="1" x14ac:dyDescent="0.25">
      <c r="A141" s="421" t="s">
        <v>995</v>
      </c>
      <c r="B141" s="411">
        <v>400</v>
      </c>
      <c r="C141" s="414">
        <v>6</v>
      </c>
      <c r="D141" s="405">
        <f t="shared" si="10"/>
        <v>2400</v>
      </c>
      <c r="E141" s="403">
        <f t="shared" si="13"/>
        <v>2496</v>
      </c>
      <c r="F141" s="403">
        <f t="shared" si="13"/>
        <v>2595.84</v>
      </c>
    </row>
    <row r="142" spans="1:6" s="102" customFormat="1" x14ac:dyDescent="0.25">
      <c r="A142" s="421" t="s">
        <v>999</v>
      </c>
      <c r="B142" s="411">
        <v>210</v>
      </c>
      <c r="C142" s="414">
        <v>6</v>
      </c>
      <c r="D142" s="405">
        <f t="shared" si="10"/>
        <v>1260</v>
      </c>
      <c r="E142" s="403">
        <f t="shared" si="13"/>
        <v>1310.4000000000001</v>
      </c>
      <c r="F142" s="403">
        <f t="shared" si="13"/>
        <v>1362.816</v>
      </c>
    </row>
    <row r="143" spans="1:6" s="102" customFormat="1" x14ac:dyDescent="0.25">
      <c r="A143" s="421" t="s">
        <v>994</v>
      </c>
      <c r="B143" s="411">
        <v>250</v>
      </c>
      <c r="C143" s="414">
        <v>6</v>
      </c>
      <c r="D143" s="405">
        <f t="shared" si="10"/>
        <v>1500</v>
      </c>
      <c r="E143" s="403">
        <f t="shared" si="13"/>
        <v>1560</v>
      </c>
      <c r="F143" s="403">
        <f t="shared" si="13"/>
        <v>1622.4</v>
      </c>
    </row>
    <row r="144" spans="1:6" s="102" customFormat="1" x14ac:dyDescent="0.25">
      <c r="A144" s="421" t="s">
        <v>1000</v>
      </c>
      <c r="B144" s="411">
        <v>210</v>
      </c>
      <c r="C144" s="414">
        <v>6</v>
      </c>
      <c r="D144" s="405">
        <f t="shared" si="10"/>
        <v>1260</v>
      </c>
      <c r="E144" s="403">
        <f t="shared" si="13"/>
        <v>1310.4000000000001</v>
      </c>
      <c r="F144" s="403">
        <f t="shared" si="13"/>
        <v>1362.816</v>
      </c>
    </row>
    <row r="145" spans="1:6" s="102" customFormat="1" ht="30" x14ac:dyDescent="0.25">
      <c r="A145" s="421" t="s">
        <v>1001</v>
      </c>
      <c r="B145" s="411">
        <v>190</v>
      </c>
      <c r="C145" s="414">
        <v>6</v>
      </c>
      <c r="D145" s="405">
        <f t="shared" si="10"/>
        <v>1140</v>
      </c>
      <c r="E145" s="403">
        <f t="shared" si="13"/>
        <v>1185.6000000000001</v>
      </c>
      <c r="F145" s="403">
        <f t="shared" si="13"/>
        <v>1233.0240000000001</v>
      </c>
    </row>
    <row r="146" spans="1:6" s="102" customFormat="1" x14ac:dyDescent="0.25">
      <c r="A146" s="421" t="s">
        <v>987</v>
      </c>
      <c r="B146" s="411">
        <v>140</v>
      </c>
      <c r="C146" s="414">
        <v>6</v>
      </c>
      <c r="D146" s="405">
        <f t="shared" si="10"/>
        <v>840</v>
      </c>
      <c r="E146" s="403">
        <f t="shared" si="13"/>
        <v>873.6</v>
      </c>
      <c r="F146" s="403">
        <f t="shared" si="13"/>
        <v>908.5440000000001</v>
      </c>
    </row>
    <row r="147" spans="1:6" s="102" customFormat="1" x14ac:dyDescent="0.25">
      <c r="A147" s="421" t="s">
        <v>982</v>
      </c>
      <c r="B147" s="411">
        <v>340</v>
      </c>
      <c r="C147" s="414">
        <v>6</v>
      </c>
      <c r="D147" s="405">
        <f t="shared" si="10"/>
        <v>2040</v>
      </c>
      <c r="E147" s="403">
        <f t="shared" si="13"/>
        <v>2121.6</v>
      </c>
      <c r="F147" s="403">
        <f t="shared" si="13"/>
        <v>2206.4639999999999</v>
      </c>
    </row>
    <row r="148" spans="1:6" s="102" customFormat="1" x14ac:dyDescent="0.25">
      <c r="A148" s="421" t="s">
        <v>983</v>
      </c>
      <c r="B148" s="411">
        <v>180</v>
      </c>
      <c r="C148" s="414">
        <v>6</v>
      </c>
      <c r="D148" s="405">
        <f t="shared" si="10"/>
        <v>1080</v>
      </c>
      <c r="E148" s="403">
        <f t="shared" ref="E148:F163" si="14">D148*1.04</f>
        <v>1123.2</v>
      </c>
      <c r="F148" s="403">
        <f t="shared" si="14"/>
        <v>1168.1280000000002</v>
      </c>
    </row>
    <row r="149" spans="1:6" s="102" customFormat="1" x14ac:dyDescent="0.25">
      <c r="A149" s="421" t="s">
        <v>996</v>
      </c>
      <c r="B149" s="411">
        <v>210</v>
      </c>
      <c r="C149" s="414">
        <v>6</v>
      </c>
      <c r="D149" s="405">
        <f t="shared" si="10"/>
        <v>1260</v>
      </c>
      <c r="E149" s="403">
        <f t="shared" si="14"/>
        <v>1310.4000000000001</v>
      </c>
      <c r="F149" s="403">
        <f t="shared" si="14"/>
        <v>1362.816</v>
      </c>
    </row>
    <row r="150" spans="1:6" s="102" customFormat="1" x14ac:dyDescent="0.25">
      <c r="A150" s="421" t="s">
        <v>989</v>
      </c>
      <c r="B150" s="411">
        <v>150</v>
      </c>
      <c r="C150" s="414">
        <v>6</v>
      </c>
      <c r="D150" s="405">
        <f t="shared" si="10"/>
        <v>900</v>
      </c>
      <c r="E150" s="403">
        <f t="shared" si="14"/>
        <v>936</v>
      </c>
      <c r="F150" s="403">
        <f t="shared" si="14"/>
        <v>973.44</v>
      </c>
    </row>
    <row r="151" spans="1:6" s="102" customFormat="1" x14ac:dyDescent="0.25">
      <c r="A151" s="421" t="s">
        <v>990</v>
      </c>
      <c r="B151" s="411">
        <v>100</v>
      </c>
      <c r="C151" s="414">
        <v>6</v>
      </c>
      <c r="D151" s="405">
        <f t="shared" si="10"/>
        <v>600</v>
      </c>
      <c r="E151" s="403">
        <f t="shared" si="14"/>
        <v>624</v>
      </c>
      <c r="F151" s="403">
        <f t="shared" si="14"/>
        <v>648.96</v>
      </c>
    </row>
    <row r="152" spans="1:6" s="102" customFormat="1" x14ac:dyDescent="0.25">
      <c r="A152" s="421" t="s">
        <v>991</v>
      </c>
      <c r="B152" s="411">
        <v>155</v>
      </c>
      <c r="C152" s="414">
        <v>6</v>
      </c>
      <c r="D152" s="405">
        <f t="shared" si="10"/>
        <v>930</v>
      </c>
      <c r="E152" s="403">
        <f t="shared" si="14"/>
        <v>967.2</v>
      </c>
      <c r="F152" s="403">
        <f t="shared" si="14"/>
        <v>1005.888</v>
      </c>
    </row>
    <row r="153" spans="1:6" s="102" customFormat="1" x14ac:dyDescent="0.25">
      <c r="A153" s="421" t="s">
        <v>992</v>
      </c>
      <c r="B153" s="411">
        <v>240</v>
      </c>
      <c r="C153" s="414">
        <v>6</v>
      </c>
      <c r="D153" s="405">
        <f t="shared" si="10"/>
        <v>1440</v>
      </c>
      <c r="E153" s="403">
        <f t="shared" si="14"/>
        <v>1497.6000000000001</v>
      </c>
      <c r="F153" s="403">
        <f t="shared" si="14"/>
        <v>1557.5040000000001</v>
      </c>
    </row>
    <row r="154" spans="1:6" s="102" customFormat="1" x14ac:dyDescent="0.25">
      <c r="A154" s="421" t="s">
        <v>997</v>
      </c>
      <c r="B154" s="411">
        <v>240</v>
      </c>
      <c r="C154" s="414">
        <v>6</v>
      </c>
      <c r="D154" s="405">
        <f t="shared" si="10"/>
        <v>1440</v>
      </c>
      <c r="E154" s="403">
        <f t="shared" si="14"/>
        <v>1497.6000000000001</v>
      </c>
      <c r="F154" s="403">
        <f t="shared" si="14"/>
        <v>1557.5040000000001</v>
      </c>
    </row>
    <row r="155" spans="1:6" s="102" customFormat="1" x14ac:dyDescent="0.25">
      <c r="A155" s="421" t="s">
        <v>1002</v>
      </c>
      <c r="B155" s="411">
        <v>240</v>
      </c>
      <c r="C155" s="414">
        <v>6</v>
      </c>
      <c r="D155" s="405">
        <f t="shared" si="10"/>
        <v>1440</v>
      </c>
      <c r="E155" s="403">
        <f t="shared" si="14"/>
        <v>1497.6000000000001</v>
      </c>
      <c r="F155" s="403">
        <f t="shared" si="14"/>
        <v>1557.5040000000001</v>
      </c>
    </row>
    <row r="156" spans="1:6" s="102" customFormat="1" x14ac:dyDescent="0.25">
      <c r="A156" s="421" t="s">
        <v>998</v>
      </c>
      <c r="B156" s="411">
        <v>250</v>
      </c>
      <c r="C156" s="414">
        <v>6</v>
      </c>
      <c r="D156" s="405">
        <f t="shared" si="10"/>
        <v>1500</v>
      </c>
      <c r="E156" s="403">
        <f t="shared" si="14"/>
        <v>1560</v>
      </c>
      <c r="F156" s="403">
        <f t="shared" si="14"/>
        <v>1622.4</v>
      </c>
    </row>
    <row r="157" spans="1:6" s="102" customFormat="1" x14ac:dyDescent="0.25">
      <c r="A157" s="421" t="s">
        <v>1003</v>
      </c>
      <c r="B157" s="411">
        <v>160</v>
      </c>
      <c r="C157" s="414">
        <v>6</v>
      </c>
      <c r="D157" s="405">
        <f t="shared" si="10"/>
        <v>960</v>
      </c>
      <c r="E157" s="403">
        <f t="shared" si="14"/>
        <v>998.40000000000009</v>
      </c>
      <c r="F157" s="403">
        <f t="shared" si="14"/>
        <v>1038.3360000000002</v>
      </c>
    </row>
    <row r="158" spans="1:6" s="102" customFormat="1" x14ac:dyDescent="0.25">
      <c r="A158" s="421" t="s">
        <v>986</v>
      </c>
      <c r="B158" s="411">
        <v>210</v>
      </c>
      <c r="C158" s="414">
        <v>7</v>
      </c>
      <c r="D158" s="405">
        <f t="shared" si="10"/>
        <v>1470</v>
      </c>
      <c r="E158" s="403">
        <f t="shared" si="14"/>
        <v>1528.8</v>
      </c>
      <c r="F158" s="403">
        <f t="shared" si="14"/>
        <v>1589.952</v>
      </c>
    </row>
    <row r="159" spans="1:6" s="102" customFormat="1" x14ac:dyDescent="0.25">
      <c r="A159" s="421" t="s">
        <v>994</v>
      </c>
      <c r="B159" s="411">
        <v>350</v>
      </c>
      <c r="C159" s="414">
        <v>7</v>
      </c>
      <c r="D159" s="405">
        <f t="shared" si="10"/>
        <v>2450</v>
      </c>
      <c r="E159" s="403">
        <f t="shared" si="14"/>
        <v>2548</v>
      </c>
      <c r="F159" s="403">
        <f t="shared" si="14"/>
        <v>2649.92</v>
      </c>
    </row>
    <row r="160" spans="1:6" s="102" customFormat="1" x14ac:dyDescent="0.25">
      <c r="A160" s="421" t="s">
        <v>1000</v>
      </c>
      <c r="B160" s="411">
        <v>350</v>
      </c>
      <c r="C160" s="414">
        <v>7</v>
      </c>
      <c r="D160" s="405">
        <f t="shared" si="10"/>
        <v>2450</v>
      </c>
      <c r="E160" s="403">
        <f t="shared" si="14"/>
        <v>2548</v>
      </c>
      <c r="F160" s="403">
        <f t="shared" si="14"/>
        <v>2649.92</v>
      </c>
    </row>
    <row r="161" spans="1:6" s="102" customFormat="1" ht="30" x14ac:dyDescent="0.25">
      <c r="A161" s="421" t="s">
        <v>1001</v>
      </c>
      <c r="B161" s="411">
        <v>350</v>
      </c>
      <c r="C161" s="414">
        <v>7</v>
      </c>
      <c r="D161" s="405">
        <f t="shared" si="10"/>
        <v>2450</v>
      </c>
      <c r="E161" s="403">
        <f t="shared" si="14"/>
        <v>2548</v>
      </c>
      <c r="F161" s="403">
        <f t="shared" si="14"/>
        <v>2649.92</v>
      </c>
    </row>
    <row r="162" spans="1:6" s="102" customFormat="1" x14ac:dyDescent="0.25">
      <c r="A162" s="421" t="s">
        <v>995</v>
      </c>
      <c r="B162" s="411">
        <v>350</v>
      </c>
      <c r="C162" s="414">
        <v>7</v>
      </c>
      <c r="D162" s="405">
        <f t="shared" si="10"/>
        <v>2450</v>
      </c>
      <c r="E162" s="403">
        <f t="shared" si="14"/>
        <v>2548</v>
      </c>
      <c r="F162" s="403">
        <f t="shared" si="14"/>
        <v>2649.92</v>
      </c>
    </row>
    <row r="163" spans="1:6" s="102" customFormat="1" x14ac:dyDescent="0.25">
      <c r="A163" s="421" t="s">
        <v>987</v>
      </c>
      <c r="B163" s="411">
        <v>140</v>
      </c>
      <c r="C163" s="414">
        <v>7</v>
      </c>
      <c r="D163" s="405">
        <f t="shared" si="10"/>
        <v>980</v>
      </c>
      <c r="E163" s="403">
        <f t="shared" si="14"/>
        <v>1019.2</v>
      </c>
      <c r="F163" s="403">
        <f t="shared" si="14"/>
        <v>1059.9680000000001</v>
      </c>
    </row>
    <row r="164" spans="1:6" s="102" customFormat="1" x14ac:dyDescent="0.25">
      <c r="A164" s="421" t="s">
        <v>982</v>
      </c>
      <c r="B164" s="411">
        <v>340</v>
      </c>
      <c r="C164" s="414">
        <v>7</v>
      </c>
      <c r="D164" s="405">
        <f t="shared" ref="D164:D173" si="15">B164*C164</f>
        <v>2380</v>
      </c>
      <c r="E164" s="403">
        <f t="shared" ref="E164:F173" si="16">D164*1.04</f>
        <v>2475.2000000000003</v>
      </c>
      <c r="F164" s="403">
        <f t="shared" si="16"/>
        <v>2574.2080000000005</v>
      </c>
    </row>
    <row r="165" spans="1:6" s="102" customFormat="1" x14ac:dyDescent="0.25">
      <c r="A165" s="421" t="s">
        <v>983</v>
      </c>
      <c r="B165" s="411">
        <v>180</v>
      </c>
      <c r="C165" s="414">
        <v>7</v>
      </c>
      <c r="D165" s="405">
        <f t="shared" si="15"/>
        <v>1260</v>
      </c>
      <c r="E165" s="403">
        <f t="shared" si="16"/>
        <v>1310.4000000000001</v>
      </c>
      <c r="F165" s="403">
        <f t="shared" si="16"/>
        <v>1362.816</v>
      </c>
    </row>
    <row r="166" spans="1:6" s="102" customFormat="1" x14ac:dyDescent="0.25">
      <c r="A166" s="421" t="s">
        <v>996</v>
      </c>
      <c r="B166" s="411">
        <v>210</v>
      </c>
      <c r="C166" s="414">
        <v>7</v>
      </c>
      <c r="D166" s="405">
        <f t="shared" si="15"/>
        <v>1470</v>
      </c>
      <c r="E166" s="403">
        <f t="shared" si="16"/>
        <v>1528.8</v>
      </c>
      <c r="F166" s="403">
        <f t="shared" si="16"/>
        <v>1589.952</v>
      </c>
    </row>
    <row r="167" spans="1:6" s="102" customFormat="1" x14ac:dyDescent="0.25">
      <c r="A167" s="421" t="s">
        <v>989</v>
      </c>
      <c r="B167" s="411">
        <v>150</v>
      </c>
      <c r="C167" s="414">
        <v>7</v>
      </c>
      <c r="D167" s="405">
        <f t="shared" si="15"/>
        <v>1050</v>
      </c>
      <c r="E167" s="403">
        <f t="shared" si="16"/>
        <v>1092</v>
      </c>
      <c r="F167" s="403">
        <f t="shared" si="16"/>
        <v>1135.68</v>
      </c>
    </row>
    <row r="168" spans="1:6" s="102" customFormat="1" x14ac:dyDescent="0.25">
      <c r="A168" s="421" t="s">
        <v>990</v>
      </c>
      <c r="B168" s="411">
        <v>60</v>
      </c>
      <c r="C168" s="414">
        <v>7</v>
      </c>
      <c r="D168" s="405">
        <f t="shared" si="15"/>
        <v>420</v>
      </c>
      <c r="E168" s="403">
        <f t="shared" si="16"/>
        <v>436.8</v>
      </c>
      <c r="F168" s="403">
        <f t="shared" si="16"/>
        <v>454.27200000000005</v>
      </c>
    </row>
    <row r="169" spans="1:6" s="102" customFormat="1" x14ac:dyDescent="0.25">
      <c r="A169" s="421" t="s">
        <v>997</v>
      </c>
      <c r="B169" s="411">
        <v>300</v>
      </c>
      <c r="C169" s="414">
        <v>7</v>
      </c>
      <c r="D169" s="405">
        <f t="shared" si="15"/>
        <v>2100</v>
      </c>
      <c r="E169" s="403">
        <f t="shared" si="16"/>
        <v>2184</v>
      </c>
      <c r="F169" s="403">
        <f t="shared" si="16"/>
        <v>2271.36</v>
      </c>
    </row>
    <row r="170" spans="1:6" s="102" customFormat="1" x14ac:dyDescent="0.25">
      <c r="A170" s="421" t="s">
        <v>991</v>
      </c>
      <c r="B170" s="411">
        <v>150</v>
      </c>
      <c r="C170" s="414">
        <v>7</v>
      </c>
      <c r="D170" s="405">
        <f t="shared" si="15"/>
        <v>1050</v>
      </c>
      <c r="E170" s="403">
        <f t="shared" si="16"/>
        <v>1092</v>
      </c>
      <c r="F170" s="403">
        <f t="shared" si="16"/>
        <v>1135.68</v>
      </c>
    </row>
    <row r="171" spans="1:6" s="102" customFormat="1" x14ac:dyDescent="0.25">
      <c r="A171" s="421" t="s">
        <v>992</v>
      </c>
      <c r="B171" s="411">
        <v>60</v>
      </c>
      <c r="C171" s="414">
        <v>7</v>
      </c>
      <c r="D171" s="405">
        <f t="shared" si="15"/>
        <v>420</v>
      </c>
      <c r="E171" s="403">
        <f t="shared" si="16"/>
        <v>436.8</v>
      </c>
      <c r="F171" s="403">
        <f t="shared" si="16"/>
        <v>454.27200000000005</v>
      </c>
    </row>
    <row r="172" spans="1:6" s="102" customFormat="1" x14ac:dyDescent="0.25">
      <c r="A172" s="421" t="s">
        <v>1003</v>
      </c>
      <c r="B172" s="411">
        <v>350</v>
      </c>
      <c r="C172" s="414">
        <v>7</v>
      </c>
      <c r="D172" s="405">
        <f t="shared" si="15"/>
        <v>2450</v>
      </c>
      <c r="E172" s="403">
        <f t="shared" si="16"/>
        <v>2548</v>
      </c>
      <c r="F172" s="403">
        <f t="shared" si="16"/>
        <v>2649.92</v>
      </c>
    </row>
    <row r="173" spans="1:6" s="102" customFormat="1" x14ac:dyDescent="0.25">
      <c r="A173" s="421" t="s">
        <v>998</v>
      </c>
      <c r="B173" s="411">
        <v>320</v>
      </c>
      <c r="C173" s="414">
        <v>7</v>
      </c>
      <c r="D173" s="405">
        <f t="shared" si="15"/>
        <v>2240</v>
      </c>
      <c r="E173" s="403">
        <f t="shared" si="16"/>
        <v>2329.6</v>
      </c>
      <c r="F173" s="403">
        <f t="shared" si="16"/>
        <v>2422.7840000000001</v>
      </c>
    </row>
    <row r="174" spans="1:6" x14ac:dyDescent="0.25">
      <c r="A174" s="322" t="s">
        <v>4</v>
      </c>
      <c r="B174" s="3"/>
      <c r="C174" s="4"/>
      <c r="D174" s="407">
        <f>SUM(D6:D173)</f>
        <v>197009</v>
      </c>
      <c r="E174" s="407">
        <f>SUM(E6:E173)</f>
        <v>204889.36000000002</v>
      </c>
      <c r="F174" s="407">
        <f>SUM(F6:F173)</f>
        <v>213084.93439999997</v>
      </c>
    </row>
  </sheetData>
  <mergeCells count="4">
    <mergeCell ref="A4:A5"/>
    <mergeCell ref="B4:F4"/>
    <mergeCell ref="A1:F1"/>
    <mergeCell ref="A2:F2"/>
  </mergeCells>
  <pageMargins left="0.7" right="0.7" top="0.75" bottom="0.75" header="0.3" footer="0.3"/>
  <pageSetup paperSize="9" scale="7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9"/>
  <sheetViews>
    <sheetView view="pageBreakPreview" zoomScaleSheetLayoutView="100" workbookViewId="0">
      <selection activeCell="A7" sqref="A7:D8"/>
    </sheetView>
  </sheetViews>
  <sheetFormatPr defaultRowHeight="15" x14ac:dyDescent="0.25"/>
  <cols>
    <col min="1" max="1" width="29.7109375" customWidth="1"/>
    <col min="2" max="2" width="10.140625" customWidth="1"/>
    <col min="3" max="3" width="12.140625" customWidth="1"/>
    <col min="4" max="6" width="17.85546875" bestFit="1" customWidth="1"/>
    <col min="7" max="7" width="9.42578125" customWidth="1"/>
  </cols>
  <sheetData>
    <row r="1" spans="1:6" x14ac:dyDescent="0.25">
      <c r="A1" s="581" t="s">
        <v>9</v>
      </c>
      <c r="B1" s="581"/>
      <c r="C1" s="581"/>
      <c r="D1" s="581"/>
      <c r="E1" s="581"/>
      <c r="F1" s="581"/>
    </row>
    <row r="2" spans="1:6" x14ac:dyDescent="0.25">
      <c r="A2" s="616"/>
      <c r="B2" s="616"/>
      <c r="C2" s="616"/>
      <c r="D2" s="616"/>
      <c r="E2" s="616"/>
      <c r="F2" s="616"/>
    </row>
    <row r="3" spans="1:6" x14ac:dyDescent="0.25">
      <c r="A3" s="6"/>
      <c r="B3" s="6"/>
      <c r="C3" s="6"/>
      <c r="D3" s="6"/>
      <c r="E3" s="6"/>
      <c r="F3" s="6"/>
    </row>
    <row r="5" spans="1:6" ht="31.5" customHeight="1" x14ac:dyDescent="0.25">
      <c r="A5" s="593" t="s">
        <v>0</v>
      </c>
      <c r="B5" s="593" t="s">
        <v>196</v>
      </c>
      <c r="C5" s="593"/>
      <c r="D5" s="593"/>
      <c r="E5" s="593"/>
      <c r="F5" s="593"/>
    </row>
    <row r="6" spans="1:6" x14ac:dyDescent="0.25">
      <c r="A6" s="593"/>
      <c r="B6" s="1" t="s">
        <v>1</v>
      </c>
      <c r="C6" s="1" t="s">
        <v>2</v>
      </c>
      <c r="D6" s="2" t="s">
        <v>19</v>
      </c>
      <c r="E6" s="2" t="s">
        <v>3</v>
      </c>
      <c r="F6" s="2" t="s">
        <v>5</v>
      </c>
    </row>
    <row r="7" spans="1:6" s="102" customFormat="1" x14ac:dyDescent="0.25">
      <c r="A7" s="319"/>
      <c r="B7" s="104"/>
      <c r="C7" s="99"/>
      <c r="D7" s="105"/>
      <c r="E7" s="104">
        <f>D7*1.04</f>
        <v>0</v>
      </c>
      <c r="F7" s="104">
        <f>E7*1.04</f>
        <v>0</v>
      </c>
    </row>
    <row r="8" spans="1:6" s="102" customFormat="1" x14ac:dyDescent="0.25">
      <c r="A8" s="322"/>
      <c r="B8" s="104"/>
      <c r="C8" s="99"/>
      <c r="D8" s="105"/>
      <c r="E8" s="104">
        <f>D8*1.04</f>
        <v>0</v>
      </c>
      <c r="F8" s="104">
        <f>E8*1.04</f>
        <v>0</v>
      </c>
    </row>
    <row r="9" spans="1:6" x14ac:dyDescent="0.25">
      <c r="A9" s="1" t="s">
        <v>4</v>
      </c>
      <c r="B9" s="3"/>
      <c r="C9" s="4"/>
      <c r="D9" s="5">
        <f>D7+D8</f>
        <v>0</v>
      </c>
      <c r="E9" s="5">
        <f t="shared" ref="E9:F9" si="0">E7+E8</f>
        <v>0</v>
      </c>
      <c r="F9" s="5">
        <f t="shared" si="0"/>
        <v>0</v>
      </c>
    </row>
  </sheetData>
  <mergeCells count="4">
    <mergeCell ref="A1:F1"/>
    <mergeCell ref="A2:F2"/>
    <mergeCell ref="A5:A6"/>
    <mergeCell ref="B5:F5"/>
  </mergeCells>
  <pageMargins left="0.7" right="0.7" top="0.75" bottom="0.75" header="0.3" footer="0.3"/>
  <pageSetup paperSize="9"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9"/>
  <sheetViews>
    <sheetView view="pageBreakPreview" zoomScaleSheetLayoutView="100" workbookViewId="0">
      <selection activeCell="D9" sqref="D9:F9"/>
    </sheetView>
  </sheetViews>
  <sheetFormatPr defaultRowHeight="15" x14ac:dyDescent="0.25"/>
  <cols>
    <col min="1" max="1" width="33" customWidth="1"/>
    <col min="2" max="2" width="10.140625" customWidth="1"/>
    <col min="3" max="3" width="12.140625" customWidth="1"/>
    <col min="4" max="6" width="17.85546875" bestFit="1" customWidth="1"/>
    <col min="7" max="7" width="9.42578125" customWidth="1"/>
  </cols>
  <sheetData>
    <row r="1" spans="1:6" x14ac:dyDescent="0.25">
      <c r="A1" s="581" t="s">
        <v>9</v>
      </c>
      <c r="B1" s="581"/>
      <c r="C1" s="581"/>
      <c r="D1" s="581"/>
      <c r="E1" s="581"/>
      <c r="F1" s="581"/>
    </row>
    <row r="2" spans="1:6" x14ac:dyDescent="0.25">
      <c r="A2" s="616"/>
      <c r="B2" s="616"/>
      <c r="C2" s="616"/>
      <c r="D2" s="616"/>
      <c r="E2" s="616"/>
      <c r="F2" s="616"/>
    </row>
    <row r="3" spans="1:6" x14ac:dyDescent="0.25">
      <c r="A3" s="6"/>
      <c r="B3" s="6"/>
      <c r="C3" s="6"/>
      <c r="D3" s="6"/>
      <c r="E3" s="6"/>
      <c r="F3" s="6"/>
    </row>
    <row r="5" spans="1:6" ht="120.75" customHeight="1" x14ac:dyDescent="0.25">
      <c r="A5" s="593" t="s">
        <v>0</v>
      </c>
      <c r="B5" s="593" t="s">
        <v>197</v>
      </c>
      <c r="C5" s="593"/>
      <c r="D5" s="593"/>
      <c r="E5" s="593"/>
      <c r="F5" s="593"/>
    </row>
    <row r="6" spans="1:6" x14ac:dyDescent="0.25">
      <c r="A6" s="593"/>
      <c r="B6" s="1" t="s">
        <v>1</v>
      </c>
      <c r="C6" s="1" t="s">
        <v>2</v>
      </c>
      <c r="D6" s="2" t="s">
        <v>19</v>
      </c>
      <c r="E6" s="2" t="s">
        <v>3</v>
      </c>
      <c r="F6" s="2" t="s">
        <v>5</v>
      </c>
    </row>
    <row r="7" spans="1:6" s="102" customFormat="1" x14ac:dyDescent="0.25">
      <c r="A7" s="365" t="s">
        <v>1004</v>
      </c>
      <c r="B7" s="104">
        <v>300</v>
      </c>
      <c r="C7" s="99">
        <v>10</v>
      </c>
      <c r="D7" s="105">
        <f>B7*C7*1.037</f>
        <v>3110.9999999999995</v>
      </c>
      <c r="E7" s="104">
        <f>D7*1.04</f>
        <v>3235.4399999999996</v>
      </c>
      <c r="F7" s="104">
        <f>E7*1.04</f>
        <v>3364.8575999999998</v>
      </c>
    </row>
    <row r="8" spans="1:6" s="102" customFormat="1" x14ac:dyDescent="0.25">
      <c r="A8" s="365" t="s">
        <v>1005</v>
      </c>
      <c r="B8" s="104">
        <v>310</v>
      </c>
      <c r="C8" s="99">
        <v>5</v>
      </c>
      <c r="D8" s="105">
        <f>B8*C8*1.037</f>
        <v>1607.35</v>
      </c>
      <c r="E8" s="104">
        <f>D8*1.04</f>
        <v>1671.644</v>
      </c>
      <c r="F8" s="104">
        <f>E8*1.04</f>
        <v>1738.5097600000001</v>
      </c>
    </row>
    <row r="9" spans="1:6" x14ac:dyDescent="0.25">
      <c r="A9" s="1" t="s">
        <v>4</v>
      </c>
      <c r="B9" s="3"/>
      <c r="C9" s="4"/>
      <c r="D9" s="5">
        <f>D7+D8</f>
        <v>4718.3499999999995</v>
      </c>
      <c r="E9" s="5">
        <f t="shared" ref="E9:F9" si="0">E7+E8</f>
        <v>4907.0839999999998</v>
      </c>
      <c r="F9" s="5">
        <f t="shared" si="0"/>
        <v>5103.3673600000002</v>
      </c>
    </row>
  </sheetData>
  <mergeCells count="4">
    <mergeCell ref="A1:F1"/>
    <mergeCell ref="A2:F2"/>
    <mergeCell ref="A5:A6"/>
    <mergeCell ref="B5:F5"/>
  </mergeCells>
  <pageMargins left="0.7" right="0.7" top="0.75" bottom="0.75" header="0.3" footer="0.3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F6"/>
  <sheetViews>
    <sheetView view="pageBreakPreview" zoomScaleSheetLayoutView="100" workbookViewId="0">
      <selection activeCell="T40" sqref="T40"/>
    </sheetView>
  </sheetViews>
  <sheetFormatPr defaultRowHeight="12.75" x14ac:dyDescent="0.25"/>
  <cols>
    <col min="1" max="1" width="24" style="45" customWidth="1"/>
    <col min="2" max="2" width="21.28515625" style="45" customWidth="1"/>
    <col min="3" max="3" width="17" style="45" customWidth="1"/>
    <col min="4" max="4" width="16.42578125" style="45" customWidth="1"/>
    <col min="5" max="5" width="14.140625" style="45" customWidth="1"/>
    <col min="6" max="6" width="13.28515625" style="45" customWidth="1"/>
    <col min="7" max="255" width="9.140625" style="45"/>
    <col min="256" max="256" width="44" style="45" customWidth="1"/>
    <col min="257" max="257" width="17.140625" style="45" customWidth="1"/>
    <col min="258" max="259" width="16.42578125" style="45" customWidth="1"/>
    <col min="260" max="511" width="9.140625" style="45"/>
    <col min="512" max="512" width="44" style="45" customWidth="1"/>
    <col min="513" max="513" width="17.140625" style="45" customWidth="1"/>
    <col min="514" max="515" width="16.42578125" style="45" customWidth="1"/>
    <col min="516" max="767" width="9.140625" style="45"/>
    <col min="768" max="768" width="44" style="45" customWidth="1"/>
    <col min="769" max="769" width="17.140625" style="45" customWidth="1"/>
    <col min="770" max="771" width="16.42578125" style="45" customWidth="1"/>
    <col min="772" max="1023" width="9.140625" style="45"/>
    <col min="1024" max="1024" width="44" style="45" customWidth="1"/>
    <col min="1025" max="1025" width="17.140625" style="45" customWidth="1"/>
    <col min="1026" max="1027" width="16.42578125" style="45" customWidth="1"/>
    <col min="1028" max="1279" width="9.140625" style="45"/>
    <col min="1280" max="1280" width="44" style="45" customWidth="1"/>
    <col min="1281" max="1281" width="17.140625" style="45" customWidth="1"/>
    <col min="1282" max="1283" width="16.42578125" style="45" customWidth="1"/>
    <col min="1284" max="1535" width="9.140625" style="45"/>
    <col min="1536" max="1536" width="44" style="45" customWidth="1"/>
    <col min="1537" max="1537" width="17.140625" style="45" customWidth="1"/>
    <col min="1538" max="1539" width="16.42578125" style="45" customWidth="1"/>
    <col min="1540" max="1791" width="9.140625" style="45"/>
    <col min="1792" max="1792" width="44" style="45" customWidth="1"/>
    <col min="1793" max="1793" width="17.140625" style="45" customWidth="1"/>
    <col min="1794" max="1795" width="16.42578125" style="45" customWidth="1"/>
    <col min="1796" max="2047" width="9.140625" style="45"/>
    <col min="2048" max="2048" width="44" style="45" customWidth="1"/>
    <col min="2049" max="2049" width="17.140625" style="45" customWidth="1"/>
    <col min="2050" max="2051" width="16.42578125" style="45" customWidth="1"/>
    <col min="2052" max="2303" width="9.140625" style="45"/>
    <col min="2304" max="2304" width="44" style="45" customWidth="1"/>
    <col min="2305" max="2305" width="17.140625" style="45" customWidth="1"/>
    <col min="2306" max="2307" width="16.42578125" style="45" customWidth="1"/>
    <col min="2308" max="2559" width="9.140625" style="45"/>
    <col min="2560" max="2560" width="44" style="45" customWidth="1"/>
    <col min="2561" max="2561" width="17.140625" style="45" customWidth="1"/>
    <col min="2562" max="2563" width="16.42578125" style="45" customWidth="1"/>
    <col min="2564" max="2815" width="9.140625" style="45"/>
    <col min="2816" max="2816" width="44" style="45" customWidth="1"/>
    <col min="2817" max="2817" width="17.140625" style="45" customWidth="1"/>
    <col min="2818" max="2819" width="16.42578125" style="45" customWidth="1"/>
    <col min="2820" max="3071" width="9.140625" style="45"/>
    <col min="3072" max="3072" width="44" style="45" customWidth="1"/>
    <col min="3073" max="3073" width="17.140625" style="45" customWidth="1"/>
    <col min="3074" max="3075" width="16.42578125" style="45" customWidth="1"/>
    <col min="3076" max="3327" width="9.140625" style="45"/>
    <col min="3328" max="3328" width="44" style="45" customWidth="1"/>
    <col min="3329" max="3329" width="17.140625" style="45" customWidth="1"/>
    <col min="3330" max="3331" width="16.42578125" style="45" customWidth="1"/>
    <col min="3332" max="3583" width="9.140625" style="45"/>
    <col min="3584" max="3584" width="44" style="45" customWidth="1"/>
    <col min="3585" max="3585" width="17.140625" style="45" customWidth="1"/>
    <col min="3586" max="3587" width="16.42578125" style="45" customWidth="1"/>
    <col min="3588" max="3839" width="9.140625" style="45"/>
    <col min="3840" max="3840" width="44" style="45" customWidth="1"/>
    <col min="3841" max="3841" width="17.140625" style="45" customWidth="1"/>
    <col min="3842" max="3843" width="16.42578125" style="45" customWidth="1"/>
    <col min="3844" max="4095" width="9.140625" style="45"/>
    <col min="4096" max="4096" width="44" style="45" customWidth="1"/>
    <col min="4097" max="4097" width="17.140625" style="45" customWidth="1"/>
    <col min="4098" max="4099" width="16.42578125" style="45" customWidth="1"/>
    <col min="4100" max="4351" width="9.140625" style="45"/>
    <col min="4352" max="4352" width="44" style="45" customWidth="1"/>
    <col min="4353" max="4353" width="17.140625" style="45" customWidth="1"/>
    <col min="4354" max="4355" width="16.42578125" style="45" customWidth="1"/>
    <col min="4356" max="4607" width="9.140625" style="45"/>
    <col min="4608" max="4608" width="44" style="45" customWidth="1"/>
    <col min="4609" max="4609" width="17.140625" style="45" customWidth="1"/>
    <col min="4610" max="4611" width="16.42578125" style="45" customWidth="1"/>
    <col min="4612" max="4863" width="9.140625" style="45"/>
    <col min="4864" max="4864" width="44" style="45" customWidth="1"/>
    <col min="4865" max="4865" width="17.140625" style="45" customWidth="1"/>
    <col min="4866" max="4867" width="16.42578125" style="45" customWidth="1"/>
    <col min="4868" max="5119" width="9.140625" style="45"/>
    <col min="5120" max="5120" width="44" style="45" customWidth="1"/>
    <col min="5121" max="5121" width="17.140625" style="45" customWidth="1"/>
    <col min="5122" max="5123" width="16.42578125" style="45" customWidth="1"/>
    <col min="5124" max="5375" width="9.140625" style="45"/>
    <col min="5376" max="5376" width="44" style="45" customWidth="1"/>
    <col min="5377" max="5377" width="17.140625" style="45" customWidth="1"/>
    <col min="5378" max="5379" width="16.42578125" style="45" customWidth="1"/>
    <col min="5380" max="5631" width="9.140625" style="45"/>
    <col min="5632" max="5632" width="44" style="45" customWidth="1"/>
    <col min="5633" max="5633" width="17.140625" style="45" customWidth="1"/>
    <col min="5634" max="5635" width="16.42578125" style="45" customWidth="1"/>
    <col min="5636" max="5887" width="9.140625" style="45"/>
    <col min="5888" max="5888" width="44" style="45" customWidth="1"/>
    <col min="5889" max="5889" width="17.140625" style="45" customWidth="1"/>
    <col min="5890" max="5891" width="16.42578125" style="45" customWidth="1"/>
    <col min="5892" max="6143" width="9.140625" style="45"/>
    <col min="6144" max="6144" width="44" style="45" customWidth="1"/>
    <col min="6145" max="6145" width="17.140625" style="45" customWidth="1"/>
    <col min="6146" max="6147" width="16.42578125" style="45" customWidth="1"/>
    <col min="6148" max="6399" width="9.140625" style="45"/>
    <col min="6400" max="6400" width="44" style="45" customWidth="1"/>
    <col min="6401" max="6401" width="17.140625" style="45" customWidth="1"/>
    <col min="6402" max="6403" width="16.42578125" style="45" customWidth="1"/>
    <col min="6404" max="6655" width="9.140625" style="45"/>
    <col min="6656" max="6656" width="44" style="45" customWidth="1"/>
    <col min="6657" max="6657" width="17.140625" style="45" customWidth="1"/>
    <col min="6658" max="6659" width="16.42578125" style="45" customWidth="1"/>
    <col min="6660" max="6911" width="9.140625" style="45"/>
    <col min="6912" max="6912" width="44" style="45" customWidth="1"/>
    <col min="6913" max="6913" width="17.140625" style="45" customWidth="1"/>
    <col min="6914" max="6915" width="16.42578125" style="45" customWidth="1"/>
    <col min="6916" max="7167" width="9.140625" style="45"/>
    <col min="7168" max="7168" width="44" style="45" customWidth="1"/>
    <col min="7169" max="7169" width="17.140625" style="45" customWidth="1"/>
    <col min="7170" max="7171" width="16.42578125" style="45" customWidth="1"/>
    <col min="7172" max="7423" width="9.140625" style="45"/>
    <col min="7424" max="7424" width="44" style="45" customWidth="1"/>
    <col min="7425" max="7425" width="17.140625" style="45" customWidth="1"/>
    <col min="7426" max="7427" width="16.42578125" style="45" customWidth="1"/>
    <col min="7428" max="7679" width="9.140625" style="45"/>
    <col min="7680" max="7680" width="44" style="45" customWidth="1"/>
    <col min="7681" max="7681" width="17.140625" style="45" customWidth="1"/>
    <col min="7682" max="7683" width="16.42578125" style="45" customWidth="1"/>
    <col min="7684" max="7935" width="9.140625" style="45"/>
    <col min="7936" max="7936" width="44" style="45" customWidth="1"/>
    <col min="7937" max="7937" width="17.140625" style="45" customWidth="1"/>
    <col min="7938" max="7939" width="16.42578125" style="45" customWidth="1"/>
    <col min="7940" max="8191" width="9.140625" style="45"/>
    <col min="8192" max="8192" width="44" style="45" customWidth="1"/>
    <col min="8193" max="8193" width="17.140625" style="45" customWidth="1"/>
    <col min="8194" max="8195" width="16.42578125" style="45" customWidth="1"/>
    <col min="8196" max="8447" width="9.140625" style="45"/>
    <col min="8448" max="8448" width="44" style="45" customWidth="1"/>
    <col min="8449" max="8449" width="17.140625" style="45" customWidth="1"/>
    <col min="8450" max="8451" width="16.42578125" style="45" customWidth="1"/>
    <col min="8452" max="8703" width="9.140625" style="45"/>
    <col min="8704" max="8704" width="44" style="45" customWidth="1"/>
    <col min="8705" max="8705" width="17.140625" style="45" customWidth="1"/>
    <col min="8706" max="8707" width="16.42578125" style="45" customWidth="1"/>
    <col min="8708" max="8959" width="9.140625" style="45"/>
    <col min="8960" max="8960" width="44" style="45" customWidth="1"/>
    <col min="8961" max="8961" width="17.140625" style="45" customWidth="1"/>
    <col min="8962" max="8963" width="16.42578125" style="45" customWidth="1"/>
    <col min="8964" max="9215" width="9.140625" style="45"/>
    <col min="9216" max="9216" width="44" style="45" customWidth="1"/>
    <col min="9217" max="9217" width="17.140625" style="45" customWidth="1"/>
    <col min="9218" max="9219" width="16.42578125" style="45" customWidth="1"/>
    <col min="9220" max="9471" width="9.140625" style="45"/>
    <col min="9472" max="9472" width="44" style="45" customWidth="1"/>
    <col min="9473" max="9473" width="17.140625" style="45" customWidth="1"/>
    <col min="9474" max="9475" width="16.42578125" style="45" customWidth="1"/>
    <col min="9476" max="9727" width="9.140625" style="45"/>
    <col min="9728" max="9728" width="44" style="45" customWidth="1"/>
    <col min="9729" max="9729" width="17.140625" style="45" customWidth="1"/>
    <col min="9730" max="9731" width="16.42578125" style="45" customWidth="1"/>
    <col min="9732" max="9983" width="9.140625" style="45"/>
    <col min="9984" max="9984" width="44" style="45" customWidth="1"/>
    <col min="9985" max="9985" width="17.140625" style="45" customWidth="1"/>
    <col min="9986" max="9987" width="16.42578125" style="45" customWidth="1"/>
    <col min="9988" max="10239" width="9.140625" style="45"/>
    <col min="10240" max="10240" width="44" style="45" customWidth="1"/>
    <col min="10241" max="10241" width="17.140625" style="45" customWidth="1"/>
    <col min="10242" max="10243" width="16.42578125" style="45" customWidth="1"/>
    <col min="10244" max="10495" width="9.140625" style="45"/>
    <col min="10496" max="10496" width="44" style="45" customWidth="1"/>
    <col min="10497" max="10497" width="17.140625" style="45" customWidth="1"/>
    <col min="10498" max="10499" width="16.42578125" style="45" customWidth="1"/>
    <col min="10500" max="10751" width="9.140625" style="45"/>
    <col min="10752" max="10752" width="44" style="45" customWidth="1"/>
    <col min="10753" max="10753" width="17.140625" style="45" customWidth="1"/>
    <col min="10754" max="10755" width="16.42578125" style="45" customWidth="1"/>
    <col min="10756" max="11007" width="9.140625" style="45"/>
    <col min="11008" max="11008" width="44" style="45" customWidth="1"/>
    <col min="11009" max="11009" width="17.140625" style="45" customWidth="1"/>
    <col min="11010" max="11011" width="16.42578125" style="45" customWidth="1"/>
    <col min="11012" max="11263" width="9.140625" style="45"/>
    <col min="11264" max="11264" width="44" style="45" customWidth="1"/>
    <col min="11265" max="11265" width="17.140625" style="45" customWidth="1"/>
    <col min="11266" max="11267" width="16.42578125" style="45" customWidth="1"/>
    <col min="11268" max="11519" width="9.140625" style="45"/>
    <col min="11520" max="11520" width="44" style="45" customWidth="1"/>
    <col min="11521" max="11521" width="17.140625" style="45" customWidth="1"/>
    <col min="11522" max="11523" width="16.42578125" style="45" customWidth="1"/>
    <col min="11524" max="11775" width="9.140625" style="45"/>
    <col min="11776" max="11776" width="44" style="45" customWidth="1"/>
    <col min="11777" max="11777" width="17.140625" style="45" customWidth="1"/>
    <col min="11778" max="11779" width="16.42578125" style="45" customWidth="1"/>
    <col min="11780" max="12031" width="9.140625" style="45"/>
    <col min="12032" max="12032" width="44" style="45" customWidth="1"/>
    <col min="12033" max="12033" width="17.140625" style="45" customWidth="1"/>
    <col min="12034" max="12035" width="16.42578125" style="45" customWidth="1"/>
    <col min="12036" max="12287" width="9.140625" style="45"/>
    <col min="12288" max="12288" width="44" style="45" customWidth="1"/>
    <col min="12289" max="12289" width="17.140625" style="45" customWidth="1"/>
    <col min="12290" max="12291" width="16.42578125" style="45" customWidth="1"/>
    <col min="12292" max="12543" width="9.140625" style="45"/>
    <col min="12544" max="12544" width="44" style="45" customWidth="1"/>
    <col min="12545" max="12545" width="17.140625" style="45" customWidth="1"/>
    <col min="12546" max="12547" width="16.42578125" style="45" customWidth="1"/>
    <col min="12548" max="12799" width="9.140625" style="45"/>
    <col min="12800" max="12800" width="44" style="45" customWidth="1"/>
    <col min="12801" max="12801" width="17.140625" style="45" customWidth="1"/>
    <col min="12802" max="12803" width="16.42578125" style="45" customWidth="1"/>
    <col min="12804" max="13055" width="9.140625" style="45"/>
    <col min="13056" max="13056" width="44" style="45" customWidth="1"/>
    <col min="13057" max="13057" width="17.140625" style="45" customWidth="1"/>
    <col min="13058" max="13059" width="16.42578125" style="45" customWidth="1"/>
    <col min="13060" max="13311" width="9.140625" style="45"/>
    <col min="13312" max="13312" width="44" style="45" customWidth="1"/>
    <col min="13313" max="13313" width="17.140625" style="45" customWidth="1"/>
    <col min="13314" max="13315" width="16.42578125" style="45" customWidth="1"/>
    <col min="13316" max="13567" width="9.140625" style="45"/>
    <col min="13568" max="13568" width="44" style="45" customWidth="1"/>
    <col min="13569" max="13569" width="17.140625" style="45" customWidth="1"/>
    <col min="13570" max="13571" width="16.42578125" style="45" customWidth="1"/>
    <col min="13572" max="13823" width="9.140625" style="45"/>
    <col min="13824" max="13824" width="44" style="45" customWidth="1"/>
    <col min="13825" max="13825" width="17.140625" style="45" customWidth="1"/>
    <col min="13826" max="13827" width="16.42578125" style="45" customWidth="1"/>
    <col min="13828" max="14079" width="9.140625" style="45"/>
    <col min="14080" max="14080" width="44" style="45" customWidth="1"/>
    <col min="14081" max="14081" width="17.140625" style="45" customWidth="1"/>
    <col min="14082" max="14083" width="16.42578125" style="45" customWidth="1"/>
    <col min="14084" max="14335" width="9.140625" style="45"/>
    <col min="14336" max="14336" width="44" style="45" customWidth="1"/>
    <col min="14337" max="14337" width="17.140625" style="45" customWidth="1"/>
    <col min="14338" max="14339" width="16.42578125" style="45" customWidth="1"/>
    <col min="14340" max="14591" width="9.140625" style="45"/>
    <col min="14592" max="14592" width="44" style="45" customWidth="1"/>
    <col min="14593" max="14593" width="17.140625" style="45" customWidth="1"/>
    <col min="14594" max="14595" width="16.42578125" style="45" customWidth="1"/>
    <col min="14596" max="14847" width="9.140625" style="45"/>
    <col min="14848" max="14848" width="44" style="45" customWidth="1"/>
    <col min="14849" max="14849" width="17.140625" style="45" customWidth="1"/>
    <col min="14850" max="14851" width="16.42578125" style="45" customWidth="1"/>
    <col min="14852" max="15103" width="9.140625" style="45"/>
    <col min="15104" max="15104" width="44" style="45" customWidth="1"/>
    <col min="15105" max="15105" width="17.140625" style="45" customWidth="1"/>
    <col min="15106" max="15107" width="16.42578125" style="45" customWidth="1"/>
    <col min="15108" max="15359" width="9.140625" style="45"/>
    <col min="15360" max="15360" width="44" style="45" customWidth="1"/>
    <col min="15361" max="15361" width="17.140625" style="45" customWidth="1"/>
    <col min="15362" max="15363" width="16.42578125" style="45" customWidth="1"/>
    <col min="15364" max="15615" width="9.140625" style="45"/>
    <col min="15616" max="15616" width="44" style="45" customWidth="1"/>
    <col min="15617" max="15617" width="17.140625" style="45" customWidth="1"/>
    <col min="15618" max="15619" width="16.42578125" style="45" customWidth="1"/>
    <col min="15620" max="15871" width="9.140625" style="45"/>
    <col min="15872" max="15872" width="44" style="45" customWidth="1"/>
    <col min="15873" max="15873" width="17.140625" style="45" customWidth="1"/>
    <col min="15874" max="15875" width="16.42578125" style="45" customWidth="1"/>
    <col min="15876" max="16127" width="9.140625" style="45"/>
    <col min="16128" max="16128" width="44" style="45" customWidth="1"/>
    <col min="16129" max="16129" width="17.140625" style="45" customWidth="1"/>
    <col min="16130" max="16131" width="16.42578125" style="45" customWidth="1"/>
    <col min="16132" max="16384" width="9.140625" style="45"/>
  </cols>
  <sheetData>
    <row r="1" spans="1:6" x14ac:dyDescent="0.25">
      <c r="A1" s="621" t="s">
        <v>121</v>
      </c>
      <c r="B1" s="621"/>
      <c r="C1" s="621"/>
      <c r="D1" s="621"/>
    </row>
    <row r="3" spans="1:6" ht="54.75" customHeight="1" x14ac:dyDescent="0.25">
      <c r="A3" s="46" t="s">
        <v>128</v>
      </c>
      <c r="B3" s="47" t="s">
        <v>129</v>
      </c>
      <c r="C3" s="47" t="s">
        <v>122</v>
      </c>
      <c r="D3" s="47" t="s">
        <v>123</v>
      </c>
      <c r="E3" s="47" t="s">
        <v>124</v>
      </c>
      <c r="F3" s="47" t="s">
        <v>127</v>
      </c>
    </row>
    <row r="4" spans="1:6" s="369" customFormat="1" ht="15" x14ac:dyDescent="0.25">
      <c r="A4" s="425" t="s">
        <v>1006</v>
      </c>
      <c r="B4" s="106">
        <v>5553800</v>
      </c>
      <c r="C4" s="426">
        <v>1.5</v>
      </c>
      <c r="D4" s="38">
        <f>ROUND(B4*C4%,0)</f>
        <v>83307</v>
      </c>
      <c r="E4" s="426">
        <f>D4</f>
        <v>83307</v>
      </c>
      <c r="F4" s="426">
        <f>E4</f>
        <v>83307</v>
      </c>
    </row>
    <row r="5" spans="1:6" s="369" customFormat="1" ht="15" x14ac:dyDescent="0.25">
      <c r="A5" s="427" t="s">
        <v>1007</v>
      </c>
      <c r="B5" s="428">
        <v>10111789</v>
      </c>
      <c r="C5" s="427">
        <v>1.5</v>
      </c>
      <c r="D5" s="38">
        <f>ROUND(B5*C5%,0)</f>
        <v>151677</v>
      </c>
      <c r="E5" s="426">
        <f>D5</f>
        <v>151677</v>
      </c>
      <c r="F5" s="426">
        <f>E5</f>
        <v>151677</v>
      </c>
    </row>
    <row r="6" spans="1:6" s="431" customFormat="1" x14ac:dyDescent="0.25">
      <c r="A6" s="355" t="s">
        <v>4</v>
      </c>
      <c r="B6" s="429"/>
      <c r="C6" s="355"/>
      <c r="D6" s="430">
        <f>D4+D5</f>
        <v>234984</v>
      </c>
      <c r="E6" s="430">
        <f t="shared" ref="E6:F6" si="0">E4+E5</f>
        <v>234984</v>
      </c>
      <c r="F6" s="430">
        <f t="shared" si="0"/>
        <v>234984</v>
      </c>
    </row>
  </sheetData>
  <mergeCells count="1">
    <mergeCell ref="A1:D1"/>
  </mergeCells>
  <pageMargins left="0.7" right="0.7" top="0.75" bottom="0.75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L8"/>
  <sheetViews>
    <sheetView view="pageBreakPreview" zoomScaleSheetLayoutView="100" workbookViewId="0">
      <selection activeCell="G30" sqref="G30"/>
    </sheetView>
  </sheetViews>
  <sheetFormatPr defaultRowHeight="12.75" x14ac:dyDescent="0.25"/>
  <cols>
    <col min="1" max="1" width="28.42578125" style="45" customWidth="1"/>
    <col min="2" max="2" width="12.140625" style="45" customWidth="1"/>
    <col min="3" max="3" width="13" style="45" customWidth="1"/>
    <col min="4" max="4" width="14" style="45" customWidth="1"/>
    <col min="5" max="5" width="13.28515625" style="45" customWidth="1"/>
    <col min="6" max="252" width="9.140625" style="45"/>
    <col min="253" max="253" width="44" style="45" customWidth="1"/>
    <col min="254" max="254" width="21.140625" style="45" customWidth="1"/>
    <col min="255" max="255" width="18.5703125" style="45" customWidth="1"/>
    <col min="256" max="256" width="20.140625" style="45" customWidth="1"/>
    <col min="257" max="257" width="16.28515625" style="45" customWidth="1"/>
    <col min="258" max="258" width="9.140625" style="45"/>
    <col min="259" max="259" width="14.140625" style="45" customWidth="1"/>
    <col min="260" max="260" width="9.140625" style="45"/>
    <col min="261" max="261" width="11.7109375" style="45" bestFit="1" customWidth="1"/>
    <col min="262" max="508" width="9.140625" style="45"/>
    <col min="509" max="509" width="44" style="45" customWidth="1"/>
    <col min="510" max="510" width="21.140625" style="45" customWidth="1"/>
    <col min="511" max="511" width="18.5703125" style="45" customWidth="1"/>
    <col min="512" max="512" width="20.140625" style="45" customWidth="1"/>
    <col min="513" max="513" width="16.28515625" style="45" customWidth="1"/>
    <col min="514" max="514" width="9.140625" style="45"/>
    <col min="515" max="515" width="14.140625" style="45" customWidth="1"/>
    <col min="516" max="516" width="9.140625" style="45"/>
    <col min="517" max="517" width="11.7109375" style="45" bestFit="1" customWidth="1"/>
    <col min="518" max="764" width="9.140625" style="45"/>
    <col min="765" max="765" width="44" style="45" customWidth="1"/>
    <col min="766" max="766" width="21.140625" style="45" customWidth="1"/>
    <col min="767" max="767" width="18.5703125" style="45" customWidth="1"/>
    <col min="768" max="768" width="20.140625" style="45" customWidth="1"/>
    <col min="769" max="769" width="16.28515625" style="45" customWidth="1"/>
    <col min="770" max="770" width="9.140625" style="45"/>
    <col min="771" max="771" width="14.140625" style="45" customWidth="1"/>
    <col min="772" max="772" width="9.140625" style="45"/>
    <col min="773" max="773" width="11.7109375" style="45" bestFit="1" customWidth="1"/>
    <col min="774" max="1020" width="9.140625" style="45"/>
    <col min="1021" max="1021" width="44" style="45" customWidth="1"/>
    <col min="1022" max="1022" width="21.140625" style="45" customWidth="1"/>
    <col min="1023" max="1023" width="18.5703125" style="45" customWidth="1"/>
    <col min="1024" max="1024" width="20.140625" style="45" customWidth="1"/>
    <col min="1025" max="1025" width="16.28515625" style="45" customWidth="1"/>
    <col min="1026" max="1026" width="9.140625" style="45"/>
    <col min="1027" max="1027" width="14.140625" style="45" customWidth="1"/>
    <col min="1028" max="1028" width="9.140625" style="45"/>
    <col min="1029" max="1029" width="11.7109375" style="45" bestFit="1" customWidth="1"/>
    <col min="1030" max="1276" width="9.140625" style="45"/>
    <col min="1277" max="1277" width="44" style="45" customWidth="1"/>
    <col min="1278" max="1278" width="21.140625" style="45" customWidth="1"/>
    <col min="1279" max="1279" width="18.5703125" style="45" customWidth="1"/>
    <col min="1280" max="1280" width="20.140625" style="45" customWidth="1"/>
    <col min="1281" max="1281" width="16.28515625" style="45" customWidth="1"/>
    <col min="1282" max="1282" width="9.140625" style="45"/>
    <col min="1283" max="1283" width="14.140625" style="45" customWidth="1"/>
    <col min="1284" max="1284" width="9.140625" style="45"/>
    <col min="1285" max="1285" width="11.7109375" style="45" bestFit="1" customWidth="1"/>
    <col min="1286" max="1532" width="9.140625" style="45"/>
    <col min="1533" max="1533" width="44" style="45" customWidth="1"/>
    <col min="1534" max="1534" width="21.140625" style="45" customWidth="1"/>
    <col min="1535" max="1535" width="18.5703125" style="45" customWidth="1"/>
    <col min="1536" max="1536" width="20.140625" style="45" customWidth="1"/>
    <col min="1537" max="1537" width="16.28515625" style="45" customWidth="1"/>
    <col min="1538" max="1538" width="9.140625" style="45"/>
    <col min="1539" max="1539" width="14.140625" style="45" customWidth="1"/>
    <col min="1540" max="1540" width="9.140625" style="45"/>
    <col min="1541" max="1541" width="11.7109375" style="45" bestFit="1" customWidth="1"/>
    <col min="1542" max="1788" width="9.140625" style="45"/>
    <col min="1789" max="1789" width="44" style="45" customWidth="1"/>
    <col min="1790" max="1790" width="21.140625" style="45" customWidth="1"/>
    <col min="1791" max="1791" width="18.5703125" style="45" customWidth="1"/>
    <col min="1792" max="1792" width="20.140625" style="45" customWidth="1"/>
    <col min="1793" max="1793" width="16.28515625" style="45" customWidth="1"/>
    <col min="1794" max="1794" width="9.140625" style="45"/>
    <col min="1795" max="1795" width="14.140625" style="45" customWidth="1"/>
    <col min="1796" max="1796" width="9.140625" style="45"/>
    <col min="1797" max="1797" width="11.7109375" style="45" bestFit="1" customWidth="1"/>
    <col min="1798" max="2044" width="9.140625" style="45"/>
    <col min="2045" max="2045" width="44" style="45" customWidth="1"/>
    <col min="2046" max="2046" width="21.140625" style="45" customWidth="1"/>
    <col min="2047" max="2047" width="18.5703125" style="45" customWidth="1"/>
    <col min="2048" max="2048" width="20.140625" style="45" customWidth="1"/>
    <col min="2049" max="2049" width="16.28515625" style="45" customWidth="1"/>
    <col min="2050" max="2050" width="9.140625" style="45"/>
    <col min="2051" max="2051" width="14.140625" style="45" customWidth="1"/>
    <col min="2052" max="2052" width="9.140625" style="45"/>
    <col min="2053" max="2053" width="11.7109375" style="45" bestFit="1" customWidth="1"/>
    <col min="2054" max="2300" width="9.140625" style="45"/>
    <col min="2301" max="2301" width="44" style="45" customWidth="1"/>
    <col min="2302" max="2302" width="21.140625" style="45" customWidth="1"/>
    <col min="2303" max="2303" width="18.5703125" style="45" customWidth="1"/>
    <col min="2304" max="2304" width="20.140625" style="45" customWidth="1"/>
    <col min="2305" max="2305" width="16.28515625" style="45" customWidth="1"/>
    <col min="2306" max="2306" width="9.140625" style="45"/>
    <col min="2307" max="2307" width="14.140625" style="45" customWidth="1"/>
    <col min="2308" max="2308" width="9.140625" style="45"/>
    <col min="2309" max="2309" width="11.7109375" style="45" bestFit="1" customWidth="1"/>
    <col min="2310" max="2556" width="9.140625" style="45"/>
    <col min="2557" max="2557" width="44" style="45" customWidth="1"/>
    <col min="2558" max="2558" width="21.140625" style="45" customWidth="1"/>
    <col min="2559" max="2559" width="18.5703125" style="45" customWidth="1"/>
    <col min="2560" max="2560" width="20.140625" style="45" customWidth="1"/>
    <col min="2561" max="2561" width="16.28515625" style="45" customWidth="1"/>
    <col min="2562" max="2562" width="9.140625" style="45"/>
    <col min="2563" max="2563" width="14.140625" style="45" customWidth="1"/>
    <col min="2564" max="2564" width="9.140625" style="45"/>
    <col min="2565" max="2565" width="11.7109375" style="45" bestFit="1" customWidth="1"/>
    <col min="2566" max="2812" width="9.140625" style="45"/>
    <col min="2813" max="2813" width="44" style="45" customWidth="1"/>
    <col min="2814" max="2814" width="21.140625" style="45" customWidth="1"/>
    <col min="2815" max="2815" width="18.5703125" style="45" customWidth="1"/>
    <col min="2816" max="2816" width="20.140625" style="45" customWidth="1"/>
    <col min="2817" max="2817" width="16.28515625" style="45" customWidth="1"/>
    <col min="2818" max="2818" width="9.140625" style="45"/>
    <col min="2819" max="2819" width="14.140625" style="45" customWidth="1"/>
    <col min="2820" max="2820" width="9.140625" style="45"/>
    <col min="2821" max="2821" width="11.7109375" style="45" bestFit="1" customWidth="1"/>
    <col min="2822" max="3068" width="9.140625" style="45"/>
    <col min="3069" max="3069" width="44" style="45" customWidth="1"/>
    <col min="3070" max="3070" width="21.140625" style="45" customWidth="1"/>
    <col min="3071" max="3071" width="18.5703125" style="45" customWidth="1"/>
    <col min="3072" max="3072" width="20.140625" style="45" customWidth="1"/>
    <col min="3073" max="3073" width="16.28515625" style="45" customWidth="1"/>
    <col min="3074" max="3074" width="9.140625" style="45"/>
    <col min="3075" max="3075" width="14.140625" style="45" customWidth="1"/>
    <col min="3076" max="3076" width="9.140625" style="45"/>
    <col min="3077" max="3077" width="11.7109375" style="45" bestFit="1" customWidth="1"/>
    <col min="3078" max="3324" width="9.140625" style="45"/>
    <col min="3325" max="3325" width="44" style="45" customWidth="1"/>
    <col min="3326" max="3326" width="21.140625" style="45" customWidth="1"/>
    <col min="3327" max="3327" width="18.5703125" style="45" customWidth="1"/>
    <col min="3328" max="3328" width="20.140625" style="45" customWidth="1"/>
    <col min="3329" max="3329" width="16.28515625" style="45" customWidth="1"/>
    <col min="3330" max="3330" width="9.140625" style="45"/>
    <col min="3331" max="3331" width="14.140625" style="45" customWidth="1"/>
    <col min="3332" max="3332" width="9.140625" style="45"/>
    <col min="3333" max="3333" width="11.7109375" style="45" bestFit="1" customWidth="1"/>
    <col min="3334" max="3580" width="9.140625" style="45"/>
    <col min="3581" max="3581" width="44" style="45" customWidth="1"/>
    <col min="3582" max="3582" width="21.140625" style="45" customWidth="1"/>
    <col min="3583" max="3583" width="18.5703125" style="45" customWidth="1"/>
    <col min="3584" max="3584" width="20.140625" style="45" customWidth="1"/>
    <col min="3585" max="3585" width="16.28515625" style="45" customWidth="1"/>
    <col min="3586" max="3586" width="9.140625" style="45"/>
    <col min="3587" max="3587" width="14.140625" style="45" customWidth="1"/>
    <col min="3588" max="3588" width="9.140625" style="45"/>
    <col min="3589" max="3589" width="11.7109375" style="45" bestFit="1" customWidth="1"/>
    <col min="3590" max="3836" width="9.140625" style="45"/>
    <col min="3837" max="3837" width="44" style="45" customWidth="1"/>
    <col min="3838" max="3838" width="21.140625" style="45" customWidth="1"/>
    <col min="3839" max="3839" width="18.5703125" style="45" customWidth="1"/>
    <col min="3840" max="3840" width="20.140625" style="45" customWidth="1"/>
    <col min="3841" max="3841" width="16.28515625" style="45" customWidth="1"/>
    <col min="3842" max="3842" width="9.140625" style="45"/>
    <col min="3843" max="3843" width="14.140625" style="45" customWidth="1"/>
    <col min="3844" max="3844" width="9.140625" style="45"/>
    <col min="3845" max="3845" width="11.7109375" style="45" bestFit="1" customWidth="1"/>
    <col min="3846" max="4092" width="9.140625" style="45"/>
    <col min="4093" max="4093" width="44" style="45" customWidth="1"/>
    <col min="4094" max="4094" width="21.140625" style="45" customWidth="1"/>
    <col min="4095" max="4095" width="18.5703125" style="45" customWidth="1"/>
    <col min="4096" max="4096" width="20.140625" style="45" customWidth="1"/>
    <col min="4097" max="4097" width="16.28515625" style="45" customWidth="1"/>
    <col min="4098" max="4098" width="9.140625" style="45"/>
    <col min="4099" max="4099" width="14.140625" style="45" customWidth="1"/>
    <col min="4100" max="4100" width="9.140625" style="45"/>
    <col min="4101" max="4101" width="11.7109375" style="45" bestFit="1" customWidth="1"/>
    <col min="4102" max="4348" width="9.140625" style="45"/>
    <col min="4349" max="4349" width="44" style="45" customWidth="1"/>
    <col min="4350" max="4350" width="21.140625" style="45" customWidth="1"/>
    <col min="4351" max="4351" width="18.5703125" style="45" customWidth="1"/>
    <col min="4352" max="4352" width="20.140625" style="45" customWidth="1"/>
    <col min="4353" max="4353" width="16.28515625" style="45" customWidth="1"/>
    <col min="4354" max="4354" width="9.140625" style="45"/>
    <col min="4355" max="4355" width="14.140625" style="45" customWidth="1"/>
    <col min="4356" max="4356" width="9.140625" style="45"/>
    <col min="4357" max="4357" width="11.7109375" style="45" bestFit="1" customWidth="1"/>
    <col min="4358" max="4604" width="9.140625" style="45"/>
    <col min="4605" max="4605" width="44" style="45" customWidth="1"/>
    <col min="4606" max="4606" width="21.140625" style="45" customWidth="1"/>
    <col min="4607" max="4607" width="18.5703125" style="45" customWidth="1"/>
    <col min="4608" max="4608" width="20.140625" style="45" customWidth="1"/>
    <col min="4609" max="4609" width="16.28515625" style="45" customWidth="1"/>
    <col min="4610" max="4610" width="9.140625" style="45"/>
    <col min="4611" max="4611" width="14.140625" style="45" customWidth="1"/>
    <col min="4612" max="4612" width="9.140625" style="45"/>
    <col min="4613" max="4613" width="11.7109375" style="45" bestFit="1" customWidth="1"/>
    <col min="4614" max="4860" width="9.140625" style="45"/>
    <col min="4861" max="4861" width="44" style="45" customWidth="1"/>
    <col min="4862" max="4862" width="21.140625" style="45" customWidth="1"/>
    <col min="4863" max="4863" width="18.5703125" style="45" customWidth="1"/>
    <col min="4864" max="4864" width="20.140625" style="45" customWidth="1"/>
    <col min="4865" max="4865" width="16.28515625" style="45" customWidth="1"/>
    <col min="4866" max="4866" width="9.140625" style="45"/>
    <col min="4867" max="4867" width="14.140625" style="45" customWidth="1"/>
    <col min="4868" max="4868" width="9.140625" style="45"/>
    <col min="4869" max="4869" width="11.7109375" style="45" bestFit="1" customWidth="1"/>
    <col min="4870" max="5116" width="9.140625" style="45"/>
    <col min="5117" max="5117" width="44" style="45" customWidth="1"/>
    <col min="5118" max="5118" width="21.140625" style="45" customWidth="1"/>
    <col min="5119" max="5119" width="18.5703125" style="45" customWidth="1"/>
    <col min="5120" max="5120" width="20.140625" style="45" customWidth="1"/>
    <col min="5121" max="5121" width="16.28515625" style="45" customWidth="1"/>
    <col min="5122" max="5122" width="9.140625" style="45"/>
    <col min="5123" max="5123" width="14.140625" style="45" customWidth="1"/>
    <col min="5124" max="5124" width="9.140625" style="45"/>
    <col min="5125" max="5125" width="11.7109375" style="45" bestFit="1" customWidth="1"/>
    <col min="5126" max="5372" width="9.140625" style="45"/>
    <col min="5373" max="5373" width="44" style="45" customWidth="1"/>
    <col min="5374" max="5374" width="21.140625" style="45" customWidth="1"/>
    <col min="5375" max="5375" width="18.5703125" style="45" customWidth="1"/>
    <col min="5376" max="5376" width="20.140625" style="45" customWidth="1"/>
    <col min="5377" max="5377" width="16.28515625" style="45" customWidth="1"/>
    <col min="5378" max="5378" width="9.140625" style="45"/>
    <col min="5379" max="5379" width="14.140625" style="45" customWidth="1"/>
    <col min="5380" max="5380" width="9.140625" style="45"/>
    <col min="5381" max="5381" width="11.7109375" style="45" bestFit="1" customWidth="1"/>
    <col min="5382" max="5628" width="9.140625" style="45"/>
    <col min="5629" max="5629" width="44" style="45" customWidth="1"/>
    <col min="5630" max="5630" width="21.140625" style="45" customWidth="1"/>
    <col min="5631" max="5631" width="18.5703125" style="45" customWidth="1"/>
    <col min="5632" max="5632" width="20.140625" style="45" customWidth="1"/>
    <col min="5633" max="5633" width="16.28515625" style="45" customWidth="1"/>
    <col min="5634" max="5634" width="9.140625" style="45"/>
    <col min="5635" max="5635" width="14.140625" style="45" customWidth="1"/>
    <col min="5636" max="5636" width="9.140625" style="45"/>
    <col min="5637" max="5637" width="11.7109375" style="45" bestFit="1" customWidth="1"/>
    <col min="5638" max="5884" width="9.140625" style="45"/>
    <col min="5885" max="5885" width="44" style="45" customWidth="1"/>
    <col min="5886" max="5886" width="21.140625" style="45" customWidth="1"/>
    <col min="5887" max="5887" width="18.5703125" style="45" customWidth="1"/>
    <col min="5888" max="5888" width="20.140625" style="45" customWidth="1"/>
    <col min="5889" max="5889" width="16.28515625" style="45" customWidth="1"/>
    <col min="5890" max="5890" width="9.140625" style="45"/>
    <col min="5891" max="5891" width="14.140625" style="45" customWidth="1"/>
    <col min="5892" max="5892" width="9.140625" style="45"/>
    <col min="5893" max="5893" width="11.7109375" style="45" bestFit="1" customWidth="1"/>
    <col min="5894" max="6140" width="9.140625" style="45"/>
    <col min="6141" max="6141" width="44" style="45" customWidth="1"/>
    <col min="6142" max="6142" width="21.140625" style="45" customWidth="1"/>
    <col min="6143" max="6143" width="18.5703125" style="45" customWidth="1"/>
    <col min="6144" max="6144" width="20.140625" style="45" customWidth="1"/>
    <col min="6145" max="6145" width="16.28515625" style="45" customWidth="1"/>
    <col min="6146" max="6146" width="9.140625" style="45"/>
    <col min="6147" max="6147" width="14.140625" style="45" customWidth="1"/>
    <col min="6148" max="6148" width="9.140625" style="45"/>
    <col min="6149" max="6149" width="11.7109375" style="45" bestFit="1" customWidth="1"/>
    <col min="6150" max="6396" width="9.140625" style="45"/>
    <col min="6397" max="6397" width="44" style="45" customWidth="1"/>
    <col min="6398" max="6398" width="21.140625" style="45" customWidth="1"/>
    <col min="6399" max="6399" width="18.5703125" style="45" customWidth="1"/>
    <col min="6400" max="6400" width="20.140625" style="45" customWidth="1"/>
    <col min="6401" max="6401" width="16.28515625" style="45" customWidth="1"/>
    <col min="6402" max="6402" width="9.140625" style="45"/>
    <col min="6403" max="6403" width="14.140625" style="45" customWidth="1"/>
    <col min="6404" max="6404" width="9.140625" style="45"/>
    <col min="6405" max="6405" width="11.7109375" style="45" bestFit="1" customWidth="1"/>
    <col min="6406" max="6652" width="9.140625" style="45"/>
    <col min="6653" max="6653" width="44" style="45" customWidth="1"/>
    <col min="6654" max="6654" width="21.140625" style="45" customWidth="1"/>
    <col min="6655" max="6655" width="18.5703125" style="45" customWidth="1"/>
    <col min="6656" max="6656" width="20.140625" style="45" customWidth="1"/>
    <col min="6657" max="6657" width="16.28515625" style="45" customWidth="1"/>
    <col min="6658" max="6658" width="9.140625" style="45"/>
    <col min="6659" max="6659" width="14.140625" style="45" customWidth="1"/>
    <col min="6660" max="6660" width="9.140625" style="45"/>
    <col min="6661" max="6661" width="11.7109375" style="45" bestFit="1" customWidth="1"/>
    <col min="6662" max="6908" width="9.140625" style="45"/>
    <col min="6909" max="6909" width="44" style="45" customWidth="1"/>
    <col min="6910" max="6910" width="21.140625" style="45" customWidth="1"/>
    <col min="6911" max="6911" width="18.5703125" style="45" customWidth="1"/>
    <col min="6912" max="6912" width="20.140625" style="45" customWidth="1"/>
    <col min="6913" max="6913" width="16.28515625" style="45" customWidth="1"/>
    <col min="6914" max="6914" width="9.140625" style="45"/>
    <col min="6915" max="6915" width="14.140625" style="45" customWidth="1"/>
    <col min="6916" max="6916" width="9.140625" style="45"/>
    <col min="6917" max="6917" width="11.7109375" style="45" bestFit="1" customWidth="1"/>
    <col min="6918" max="7164" width="9.140625" style="45"/>
    <col min="7165" max="7165" width="44" style="45" customWidth="1"/>
    <col min="7166" max="7166" width="21.140625" style="45" customWidth="1"/>
    <col min="7167" max="7167" width="18.5703125" style="45" customWidth="1"/>
    <col min="7168" max="7168" width="20.140625" style="45" customWidth="1"/>
    <col min="7169" max="7169" width="16.28515625" style="45" customWidth="1"/>
    <col min="7170" max="7170" width="9.140625" style="45"/>
    <col min="7171" max="7171" width="14.140625" style="45" customWidth="1"/>
    <col min="7172" max="7172" width="9.140625" style="45"/>
    <col min="7173" max="7173" width="11.7109375" style="45" bestFit="1" customWidth="1"/>
    <col min="7174" max="7420" width="9.140625" style="45"/>
    <col min="7421" max="7421" width="44" style="45" customWidth="1"/>
    <col min="7422" max="7422" width="21.140625" style="45" customWidth="1"/>
    <col min="7423" max="7423" width="18.5703125" style="45" customWidth="1"/>
    <col min="7424" max="7424" width="20.140625" style="45" customWidth="1"/>
    <col min="7425" max="7425" width="16.28515625" style="45" customWidth="1"/>
    <col min="7426" max="7426" width="9.140625" style="45"/>
    <col min="7427" max="7427" width="14.140625" style="45" customWidth="1"/>
    <col min="7428" max="7428" width="9.140625" style="45"/>
    <col min="7429" max="7429" width="11.7109375" style="45" bestFit="1" customWidth="1"/>
    <col min="7430" max="7676" width="9.140625" style="45"/>
    <col min="7677" max="7677" width="44" style="45" customWidth="1"/>
    <col min="7678" max="7678" width="21.140625" style="45" customWidth="1"/>
    <col min="7679" max="7679" width="18.5703125" style="45" customWidth="1"/>
    <col min="7680" max="7680" width="20.140625" style="45" customWidth="1"/>
    <col min="7681" max="7681" width="16.28515625" style="45" customWidth="1"/>
    <col min="7682" max="7682" width="9.140625" style="45"/>
    <col min="7683" max="7683" width="14.140625" style="45" customWidth="1"/>
    <col min="7684" max="7684" width="9.140625" style="45"/>
    <col min="7685" max="7685" width="11.7109375" style="45" bestFit="1" customWidth="1"/>
    <col min="7686" max="7932" width="9.140625" style="45"/>
    <col min="7933" max="7933" width="44" style="45" customWidth="1"/>
    <col min="7934" max="7934" width="21.140625" style="45" customWidth="1"/>
    <col min="7935" max="7935" width="18.5703125" style="45" customWidth="1"/>
    <col min="7936" max="7936" width="20.140625" style="45" customWidth="1"/>
    <col min="7937" max="7937" width="16.28515625" style="45" customWidth="1"/>
    <col min="7938" max="7938" width="9.140625" style="45"/>
    <col min="7939" max="7939" width="14.140625" style="45" customWidth="1"/>
    <col min="7940" max="7940" width="9.140625" style="45"/>
    <col min="7941" max="7941" width="11.7109375" style="45" bestFit="1" customWidth="1"/>
    <col min="7942" max="8188" width="9.140625" style="45"/>
    <col min="8189" max="8189" width="44" style="45" customWidth="1"/>
    <col min="8190" max="8190" width="21.140625" style="45" customWidth="1"/>
    <col min="8191" max="8191" width="18.5703125" style="45" customWidth="1"/>
    <col min="8192" max="8192" width="20.140625" style="45" customWidth="1"/>
    <col min="8193" max="8193" width="16.28515625" style="45" customWidth="1"/>
    <col min="8194" max="8194" width="9.140625" style="45"/>
    <col min="8195" max="8195" width="14.140625" style="45" customWidth="1"/>
    <col min="8196" max="8196" width="9.140625" style="45"/>
    <col min="8197" max="8197" width="11.7109375" style="45" bestFit="1" customWidth="1"/>
    <col min="8198" max="8444" width="9.140625" style="45"/>
    <col min="8445" max="8445" width="44" style="45" customWidth="1"/>
    <col min="8446" max="8446" width="21.140625" style="45" customWidth="1"/>
    <col min="8447" max="8447" width="18.5703125" style="45" customWidth="1"/>
    <col min="8448" max="8448" width="20.140625" style="45" customWidth="1"/>
    <col min="8449" max="8449" width="16.28515625" style="45" customWidth="1"/>
    <col min="8450" max="8450" width="9.140625" style="45"/>
    <col min="8451" max="8451" width="14.140625" style="45" customWidth="1"/>
    <col min="8452" max="8452" width="9.140625" style="45"/>
    <col min="8453" max="8453" width="11.7109375" style="45" bestFit="1" customWidth="1"/>
    <col min="8454" max="8700" width="9.140625" style="45"/>
    <col min="8701" max="8701" width="44" style="45" customWidth="1"/>
    <col min="8702" max="8702" width="21.140625" style="45" customWidth="1"/>
    <col min="8703" max="8703" width="18.5703125" style="45" customWidth="1"/>
    <col min="8704" max="8704" width="20.140625" style="45" customWidth="1"/>
    <col min="8705" max="8705" width="16.28515625" style="45" customWidth="1"/>
    <col min="8706" max="8706" width="9.140625" style="45"/>
    <col min="8707" max="8707" width="14.140625" style="45" customWidth="1"/>
    <col min="8708" max="8708" width="9.140625" style="45"/>
    <col min="8709" max="8709" width="11.7109375" style="45" bestFit="1" customWidth="1"/>
    <col min="8710" max="8956" width="9.140625" style="45"/>
    <col min="8957" max="8957" width="44" style="45" customWidth="1"/>
    <col min="8958" max="8958" width="21.140625" style="45" customWidth="1"/>
    <col min="8959" max="8959" width="18.5703125" style="45" customWidth="1"/>
    <col min="8960" max="8960" width="20.140625" style="45" customWidth="1"/>
    <col min="8961" max="8961" width="16.28515625" style="45" customWidth="1"/>
    <col min="8962" max="8962" width="9.140625" style="45"/>
    <col min="8963" max="8963" width="14.140625" style="45" customWidth="1"/>
    <col min="8964" max="8964" width="9.140625" style="45"/>
    <col min="8965" max="8965" width="11.7109375" style="45" bestFit="1" customWidth="1"/>
    <col min="8966" max="9212" width="9.140625" style="45"/>
    <col min="9213" max="9213" width="44" style="45" customWidth="1"/>
    <col min="9214" max="9214" width="21.140625" style="45" customWidth="1"/>
    <col min="9215" max="9215" width="18.5703125" style="45" customWidth="1"/>
    <col min="9216" max="9216" width="20.140625" style="45" customWidth="1"/>
    <col min="9217" max="9217" width="16.28515625" style="45" customWidth="1"/>
    <col min="9218" max="9218" width="9.140625" style="45"/>
    <col min="9219" max="9219" width="14.140625" style="45" customWidth="1"/>
    <col min="9220" max="9220" width="9.140625" style="45"/>
    <col min="9221" max="9221" width="11.7109375" style="45" bestFit="1" customWidth="1"/>
    <col min="9222" max="9468" width="9.140625" style="45"/>
    <col min="9469" max="9469" width="44" style="45" customWidth="1"/>
    <col min="9470" max="9470" width="21.140625" style="45" customWidth="1"/>
    <col min="9471" max="9471" width="18.5703125" style="45" customWidth="1"/>
    <col min="9472" max="9472" width="20.140625" style="45" customWidth="1"/>
    <col min="9473" max="9473" width="16.28515625" style="45" customWidth="1"/>
    <col min="9474" max="9474" width="9.140625" style="45"/>
    <col min="9475" max="9475" width="14.140625" style="45" customWidth="1"/>
    <col min="9476" max="9476" width="9.140625" style="45"/>
    <col min="9477" max="9477" width="11.7109375" style="45" bestFit="1" customWidth="1"/>
    <col min="9478" max="9724" width="9.140625" style="45"/>
    <col min="9725" max="9725" width="44" style="45" customWidth="1"/>
    <col min="9726" max="9726" width="21.140625" style="45" customWidth="1"/>
    <col min="9727" max="9727" width="18.5703125" style="45" customWidth="1"/>
    <col min="9728" max="9728" width="20.140625" style="45" customWidth="1"/>
    <col min="9729" max="9729" width="16.28515625" style="45" customWidth="1"/>
    <col min="9730" max="9730" width="9.140625" style="45"/>
    <col min="9731" max="9731" width="14.140625" style="45" customWidth="1"/>
    <col min="9732" max="9732" width="9.140625" style="45"/>
    <col min="9733" max="9733" width="11.7109375" style="45" bestFit="1" customWidth="1"/>
    <col min="9734" max="9980" width="9.140625" style="45"/>
    <col min="9981" max="9981" width="44" style="45" customWidth="1"/>
    <col min="9982" max="9982" width="21.140625" style="45" customWidth="1"/>
    <col min="9983" max="9983" width="18.5703125" style="45" customWidth="1"/>
    <col min="9984" max="9984" width="20.140625" style="45" customWidth="1"/>
    <col min="9985" max="9985" width="16.28515625" style="45" customWidth="1"/>
    <col min="9986" max="9986" width="9.140625" style="45"/>
    <col min="9987" max="9987" width="14.140625" style="45" customWidth="1"/>
    <col min="9988" max="9988" width="9.140625" style="45"/>
    <col min="9989" max="9989" width="11.7109375" style="45" bestFit="1" customWidth="1"/>
    <col min="9990" max="10236" width="9.140625" style="45"/>
    <col min="10237" max="10237" width="44" style="45" customWidth="1"/>
    <col min="10238" max="10238" width="21.140625" style="45" customWidth="1"/>
    <col min="10239" max="10239" width="18.5703125" style="45" customWidth="1"/>
    <col min="10240" max="10240" width="20.140625" style="45" customWidth="1"/>
    <col min="10241" max="10241" width="16.28515625" style="45" customWidth="1"/>
    <col min="10242" max="10242" width="9.140625" style="45"/>
    <col min="10243" max="10243" width="14.140625" style="45" customWidth="1"/>
    <col min="10244" max="10244" width="9.140625" style="45"/>
    <col min="10245" max="10245" width="11.7109375" style="45" bestFit="1" customWidth="1"/>
    <col min="10246" max="10492" width="9.140625" style="45"/>
    <col min="10493" max="10493" width="44" style="45" customWidth="1"/>
    <col min="10494" max="10494" width="21.140625" style="45" customWidth="1"/>
    <col min="10495" max="10495" width="18.5703125" style="45" customWidth="1"/>
    <col min="10496" max="10496" width="20.140625" style="45" customWidth="1"/>
    <col min="10497" max="10497" width="16.28515625" style="45" customWidth="1"/>
    <col min="10498" max="10498" width="9.140625" style="45"/>
    <col min="10499" max="10499" width="14.140625" style="45" customWidth="1"/>
    <col min="10500" max="10500" width="9.140625" style="45"/>
    <col min="10501" max="10501" width="11.7109375" style="45" bestFit="1" customWidth="1"/>
    <col min="10502" max="10748" width="9.140625" style="45"/>
    <col min="10749" max="10749" width="44" style="45" customWidth="1"/>
    <col min="10750" max="10750" width="21.140625" style="45" customWidth="1"/>
    <col min="10751" max="10751" width="18.5703125" style="45" customWidth="1"/>
    <col min="10752" max="10752" width="20.140625" style="45" customWidth="1"/>
    <col min="10753" max="10753" width="16.28515625" style="45" customWidth="1"/>
    <col min="10754" max="10754" width="9.140625" style="45"/>
    <col min="10755" max="10755" width="14.140625" style="45" customWidth="1"/>
    <col min="10756" max="10756" width="9.140625" style="45"/>
    <col min="10757" max="10757" width="11.7109375" style="45" bestFit="1" customWidth="1"/>
    <col min="10758" max="11004" width="9.140625" style="45"/>
    <col min="11005" max="11005" width="44" style="45" customWidth="1"/>
    <col min="11006" max="11006" width="21.140625" style="45" customWidth="1"/>
    <col min="11007" max="11007" width="18.5703125" style="45" customWidth="1"/>
    <col min="11008" max="11008" width="20.140625" style="45" customWidth="1"/>
    <col min="11009" max="11009" width="16.28515625" style="45" customWidth="1"/>
    <col min="11010" max="11010" width="9.140625" style="45"/>
    <col min="11011" max="11011" width="14.140625" style="45" customWidth="1"/>
    <col min="11012" max="11012" width="9.140625" style="45"/>
    <col min="11013" max="11013" width="11.7109375" style="45" bestFit="1" customWidth="1"/>
    <col min="11014" max="11260" width="9.140625" style="45"/>
    <col min="11261" max="11261" width="44" style="45" customWidth="1"/>
    <col min="11262" max="11262" width="21.140625" style="45" customWidth="1"/>
    <col min="11263" max="11263" width="18.5703125" style="45" customWidth="1"/>
    <col min="11264" max="11264" width="20.140625" style="45" customWidth="1"/>
    <col min="11265" max="11265" width="16.28515625" style="45" customWidth="1"/>
    <col min="11266" max="11266" width="9.140625" style="45"/>
    <col min="11267" max="11267" width="14.140625" style="45" customWidth="1"/>
    <col min="11268" max="11268" width="9.140625" style="45"/>
    <col min="11269" max="11269" width="11.7109375" style="45" bestFit="1" customWidth="1"/>
    <col min="11270" max="11516" width="9.140625" style="45"/>
    <col min="11517" max="11517" width="44" style="45" customWidth="1"/>
    <col min="11518" max="11518" width="21.140625" style="45" customWidth="1"/>
    <col min="11519" max="11519" width="18.5703125" style="45" customWidth="1"/>
    <col min="11520" max="11520" width="20.140625" style="45" customWidth="1"/>
    <col min="11521" max="11521" width="16.28515625" style="45" customWidth="1"/>
    <col min="11522" max="11522" width="9.140625" style="45"/>
    <col min="11523" max="11523" width="14.140625" style="45" customWidth="1"/>
    <col min="11524" max="11524" width="9.140625" style="45"/>
    <col min="11525" max="11525" width="11.7109375" style="45" bestFit="1" customWidth="1"/>
    <col min="11526" max="11772" width="9.140625" style="45"/>
    <col min="11773" max="11773" width="44" style="45" customWidth="1"/>
    <col min="11774" max="11774" width="21.140625" style="45" customWidth="1"/>
    <col min="11775" max="11775" width="18.5703125" style="45" customWidth="1"/>
    <col min="11776" max="11776" width="20.140625" style="45" customWidth="1"/>
    <col min="11777" max="11777" width="16.28515625" style="45" customWidth="1"/>
    <col min="11778" max="11778" width="9.140625" style="45"/>
    <col min="11779" max="11779" width="14.140625" style="45" customWidth="1"/>
    <col min="11780" max="11780" width="9.140625" style="45"/>
    <col min="11781" max="11781" width="11.7109375" style="45" bestFit="1" customWidth="1"/>
    <col min="11782" max="12028" width="9.140625" style="45"/>
    <col min="12029" max="12029" width="44" style="45" customWidth="1"/>
    <col min="12030" max="12030" width="21.140625" style="45" customWidth="1"/>
    <col min="12031" max="12031" width="18.5703125" style="45" customWidth="1"/>
    <col min="12032" max="12032" width="20.140625" style="45" customWidth="1"/>
    <col min="12033" max="12033" width="16.28515625" style="45" customWidth="1"/>
    <col min="12034" max="12034" width="9.140625" style="45"/>
    <col min="12035" max="12035" width="14.140625" style="45" customWidth="1"/>
    <col min="12036" max="12036" width="9.140625" style="45"/>
    <col min="12037" max="12037" width="11.7109375" style="45" bestFit="1" customWidth="1"/>
    <col min="12038" max="12284" width="9.140625" style="45"/>
    <col min="12285" max="12285" width="44" style="45" customWidth="1"/>
    <col min="12286" max="12286" width="21.140625" style="45" customWidth="1"/>
    <col min="12287" max="12287" width="18.5703125" style="45" customWidth="1"/>
    <col min="12288" max="12288" width="20.140625" style="45" customWidth="1"/>
    <col min="12289" max="12289" width="16.28515625" style="45" customWidth="1"/>
    <col min="12290" max="12290" width="9.140625" style="45"/>
    <col min="12291" max="12291" width="14.140625" style="45" customWidth="1"/>
    <col min="12292" max="12292" width="9.140625" style="45"/>
    <col min="12293" max="12293" width="11.7109375" style="45" bestFit="1" customWidth="1"/>
    <col min="12294" max="12540" width="9.140625" style="45"/>
    <col min="12541" max="12541" width="44" style="45" customWidth="1"/>
    <col min="12542" max="12542" width="21.140625" style="45" customWidth="1"/>
    <col min="12543" max="12543" width="18.5703125" style="45" customWidth="1"/>
    <col min="12544" max="12544" width="20.140625" style="45" customWidth="1"/>
    <col min="12545" max="12545" width="16.28515625" style="45" customWidth="1"/>
    <col min="12546" max="12546" width="9.140625" style="45"/>
    <col min="12547" max="12547" width="14.140625" style="45" customWidth="1"/>
    <col min="12548" max="12548" width="9.140625" style="45"/>
    <col min="12549" max="12549" width="11.7109375" style="45" bestFit="1" customWidth="1"/>
    <col min="12550" max="12796" width="9.140625" style="45"/>
    <col min="12797" max="12797" width="44" style="45" customWidth="1"/>
    <col min="12798" max="12798" width="21.140625" style="45" customWidth="1"/>
    <col min="12799" max="12799" width="18.5703125" style="45" customWidth="1"/>
    <col min="12800" max="12800" width="20.140625" style="45" customWidth="1"/>
    <col min="12801" max="12801" width="16.28515625" style="45" customWidth="1"/>
    <col min="12802" max="12802" width="9.140625" style="45"/>
    <col min="12803" max="12803" width="14.140625" style="45" customWidth="1"/>
    <col min="12804" max="12804" width="9.140625" style="45"/>
    <col min="12805" max="12805" width="11.7109375" style="45" bestFit="1" customWidth="1"/>
    <col min="12806" max="13052" width="9.140625" style="45"/>
    <col min="13053" max="13053" width="44" style="45" customWidth="1"/>
    <col min="13054" max="13054" width="21.140625" style="45" customWidth="1"/>
    <col min="13055" max="13055" width="18.5703125" style="45" customWidth="1"/>
    <col min="13056" max="13056" width="20.140625" style="45" customWidth="1"/>
    <col min="13057" max="13057" width="16.28515625" style="45" customWidth="1"/>
    <col min="13058" max="13058" width="9.140625" style="45"/>
    <col min="13059" max="13059" width="14.140625" style="45" customWidth="1"/>
    <col min="13060" max="13060" width="9.140625" style="45"/>
    <col min="13061" max="13061" width="11.7109375" style="45" bestFit="1" customWidth="1"/>
    <col min="13062" max="13308" width="9.140625" style="45"/>
    <col min="13309" max="13309" width="44" style="45" customWidth="1"/>
    <col min="13310" max="13310" width="21.140625" style="45" customWidth="1"/>
    <col min="13311" max="13311" width="18.5703125" style="45" customWidth="1"/>
    <col min="13312" max="13312" width="20.140625" style="45" customWidth="1"/>
    <col min="13313" max="13313" width="16.28515625" style="45" customWidth="1"/>
    <col min="13314" max="13314" width="9.140625" style="45"/>
    <col min="13315" max="13315" width="14.140625" style="45" customWidth="1"/>
    <col min="13316" max="13316" width="9.140625" style="45"/>
    <col min="13317" max="13317" width="11.7109375" style="45" bestFit="1" customWidth="1"/>
    <col min="13318" max="13564" width="9.140625" style="45"/>
    <col min="13565" max="13565" width="44" style="45" customWidth="1"/>
    <col min="13566" max="13566" width="21.140625" style="45" customWidth="1"/>
    <col min="13567" max="13567" width="18.5703125" style="45" customWidth="1"/>
    <col min="13568" max="13568" width="20.140625" style="45" customWidth="1"/>
    <col min="13569" max="13569" width="16.28515625" style="45" customWidth="1"/>
    <col min="13570" max="13570" width="9.140625" style="45"/>
    <col min="13571" max="13571" width="14.140625" style="45" customWidth="1"/>
    <col min="13572" max="13572" width="9.140625" style="45"/>
    <col min="13573" max="13573" width="11.7109375" style="45" bestFit="1" customWidth="1"/>
    <col min="13574" max="13820" width="9.140625" style="45"/>
    <col min="13821" max="13821" width="44" style="45" customWidth="1"/>
    <col min="13822" max="13822" width="21.140625" style="45" customWidth="1"/>
    <col min="13823" max="13823" width="18.5703125" style="45" customWidth="1"/>
    <col min="13824" max="13824" width="20.140625" style="45" customWidth="1"/>
    <col min="13825" max="13825" width="16.28515625" style="45" customWidth="1"/>
    <col min="13826" max="13826" width="9.140625" style="45"/>
    <col min="13827" max="13827" width="14.140625" style="45" customWidth="1"/>
    <col min="13828" max="13828" width="9.140625" style="45"/>
    <col min="13829" max="13829" width="11.7109375" style="45" bestFit="1" customWidth="1"/>
    <col min="13830" max="14076" width="9.140625" style="45"/>
    <col min="14077" max="14077" width="44" style="45" customWidth="1"/>
    <col min="14078" max="14078" width="21.140625" style="45" customWidth="1"/>
    <col min="14079" max="14079" width="18.5703125" style="45" customWidth="1"/>
    <col min="14080" max="14080" width="20.140625" style="45" customWidth="1"/>
    <col min="14081" max="14081" width="16.28515625" style="45" customWidth="1"/>
    <col min="14082" max="14082" width="9.140625" style="45"/>
    <col min="14083" max="14083" width="14.140625" style="45" customWidth="1"/>
    <col min="14084" max="14084" width="9.140625" style="45"/>
    <col min="14085" max="14085" width="11.7109375" style="45" bestFit="1" customWidth="1"/>
    <col min="14086" max="14332" width="9.140625" style="45"/>
    <col min="14333" max="14333" width="44" style="45" customWidth="1"/>
    <col min="14334" max="14334" width="21.140625" style="45" customWidth="1"/>
    <col min="14335" max="14335" width="18.5703125" style="45" customWidth="1"/>
    <col min="14336" max="14336" width="20.140625" style="45" customWidth="1"/>
    <col min="14337" max="14337" width="16.28515625" style="45" customWidth="1"/>
    <col min="14338" max="14338" width="9.140625" style="45"/>
    <col min="14339" max="14339" width="14.140625" style="45" customWidth="1"/>
    <col min="14340" max="14340" width="9.140625" style="45"/>
    <col min="14341" max="14341" width="11.7109375" style="45" bestFit="1" customWidth="1"/>
    <col min="14342" max="14588" width="9.140625" style="45"/>
    <col min="14589" max="14589" width="44" style="45" customWidth="1"/>
    <col min="14590" max="14590" width="21.140625" style="45" customWidth="1"/>
    <col min="14591" max="14591" width="18.5703125" style="45" customWidth="1"/>
    <col min="14592" max="14592" width="20.140625" style="45" customWidth="1"/>
    <col min="14593" max="14593" width="16.28515625" style="45" customWidth="1"/>
    <col min="14594" max="14594" width="9.140625" style="45"/>
    <col min="14595" max="14595" width="14.140625" style="45" customWidth="1"/>
    <col min="14596" max="14596" width="9.140625" style="45"/>
    <col min="14597" max="14597" width="11.7109375" style="45" bestFit="1" customWidth="1"/>
    <col min="14598" max="14844" width="9.140625" style="45"/>
    <col min="14845" max="14845" width="44" style="45" customWidth="1"/>
    <col min="14846" max="14846" width="21.140625" style="45" customWidth="1"/>
    <col min="14847" max="14847" width="18.5703125" style="45" customWidth="1"/>
    <col min="14848" max="14848" width="20.140625" style="45" customWidth="1"/>
    <col min="14849" max="14849" width="16.28515625" style="45" customWidth="1"/>
    <col min="14850" max="14850" width="9.140625" style="45"/>
    <col min="14851" max="14851" width="14.140625" style="45" customWidth="1"/>
    <col min="14852" max="14852" width="9.140625" style="45"/>
    <col min="14853" max="14853" width="11.7109375" style="45" bestFit="1" customWidth="1"/>
    <col min="14854" max="15100" width="9.140625" style="45"/>
    <col min="15101" max="15101" width="44" style="45" customWidth="1"/>
    <col min="15102" max="15102" width="21.140625" style="45" customWidth="1"/>
    <col min="15103" max="15103" width="18.5703125" style="45" customWidth="1"/>
    <col min="15104" max="15104" width="20.140625" style="45" customWidth="1"/>
    <col min="15105" max="15105" width="16.28515625" style="45" customWidth="1"/>
    <col min="15106" max="15106" width="9.140625" style="45"/>
    <col min="15107" max="15107" width="14.140625" style="45" customWidth="1"/>
    <col min="15108" max="15108" width="9.140625" style="45"/>
    <col min="15109" max="15109" width="11.7109375" style="45" bestFit="1" customWidth="1"/>
    <col min="15110" max="15356" width="9.140625" style="45"/>
    <col min="15357" max="15357" width="44" style="45" customWidth="1"/>
    <col min="15358" max="15358" width="21.140625" style="45" customWidth="1"/>
    <col min="15359" max="15359" width="18.5703125" style="45" customWidth="1"/>
    <col min="15360" max="15360" width="20.140625" style="45" customWidth="1"/>
    <col min="15361" max="15361" width="16.28515625" style="45" customWidth="1"/>
    <col min="15362" max="15362" width="9.140625" style="45"/>
    <col min="15363" max="15363" width="14.140625" style="45" customWidth="1"/>
    <col min="15364" max="15364" width="9.140625" style="45"/>
    <col min="15365" max="15365" width="11.7109375" style="45" bestFit="1" customWidth="1"/>
    <col min="15366" max="15612" width="9.140625" style="45"/>
    <col min="15613" max="15613" width="44" style="45" customWidth="1"/>
    <col min="15614" max="15614" width="21.140625" style="45" customWidth="1"/>
    <col min="15615" max="15615" width="18.5703125" style="45" customWidth="1"/>
    <col min="15616" max="15616" width="20.140625" style="45" customWidth="1"/>
    <col min="15617" max="15617" width="16.28515625" style="45" customWidth="1"/>
    <col min="15618" max="15618" width="9.140625" style="45"/>
    <col min="15619" max="15619" width="14.140625" style="45" customWidth="1"/>
    <col min="15620" max="15620" width="9.140625" style="45"/>
    <col min="15621" max="15621" width="11.7109375" style="45" bestFit="1" customWidth="1"/>
    <col min="15622" max="15868" width="9.140625" style="45"/>
    <col min="15869" max="15869" width="44" style="45" customWidth="1"/>
    <col min="15870" max="15870" width="21.140625" style="45" customWidth="1"/>
    <col min="15871" max="15871" width="18.5703125" style="45" customWidth="1"/>
    <col min="15872" max="15872" width="20.140625" style="45" customWidth="1"/>
    <col min="15873" max="15873" width="16.28515625" style="45" customWidth="1"/>
    <col min="15874" max="15874" width="9.140625" style="45"/>
    <col min="15875" max="15875" width="14.140625" style="45" customWidth="1"/>
    <col min="15876" max="15876" width="9.140625" style="45"/>
    <col min="15877" max="15877" width="11.7109375" style="45" bestFit="1" customWidth="1"/>
    <col min="15878" max="16124" width="9.140625" style="45"/>
    <col min="16125" max="16125" width="44" style="45" customWidth="1"/>
    <col min="16126" max="16126" width="21.140625" style="45" customWidth="1"/>
    <col min="16127" max="16127" width="18.5703125" style="45" customWidth="1"/>
    <col min="16128" max="16128" width="20.140625" style="45" customWidth="1"/>
    <col min="16129" max="16129" width="16.28515625" style="45" customWidth="1"/>
    <col min="16130" max="16130" width="9.140625" style="45"/>
    <col min="16131" max="16131" width="14.140625" style="45" customWidth="1"/>
    <col min="16132" max="16132" width="9.140625" style="45"/>
    <col min="16133" max="16133" width="11.7109375" style="45" bestFit="1" customWidth="1"/>
    <col min="16134" max="16384" width="9.140625" style="45"/>
  </cols>
  <sheetData>
    <row r="1" spans="1:12" x14ac:dyDescent="0.25">
      <c r="A1" s="622" t="s">
        <v>126</v>
      </c>
      <c r="B1" s="622"/>
      <c r="C1" s="622"/>
    </row>
    <row r="4" spans="1:12" ht="38.25" x14ac:dyDescent="0.25">
      <c r="A4" s="47" t="s">
        <v>130</v>
      </c>
      <c r="B4" s="48" t="s">
        <v>122</v>
      </c>
      <c r="C4" s="48" t="s">
        <v>123</v>
      </c>
      <c r="D4" s="48" t="s">
        <v>124</v>
      </c>
      <c r="E4" s="48" t="s">
        <v>127</v>
      </c>
      <c r="F4" s="49"/>
      <c r="G4" s="49"/>
      <c r="H4" s="49"/>
      <c r="I4" s="49"/>
      <c r="J4" s="49"/>
      <c r="K4" s="49"/>
      <c r="L4" s="49"/>
    </row>
    <row r="5" spans="1:12" s="369" customFormat="1" x14ac:dyDescent="0.25">
      <c r="A5" s="50">
        <v>242910506</v>
      </c>
      <c r="B5" s="48">
        <v>2.2000000000000002</v>
      </c>
      <c r="C5" s="51">
        <f>A5*B5%</f>
        <v>5344031.1320000002</v>
      </c>
      <c r="D5" s="52">
        <f>C5</f>
        <v>5344031.1320000002</v>
      </c>
      <c r="E5" s="52">
        <f>D5</f>
        <v>5344031.1320000002</v>
      </c>
      <c r="F5" s="368"/>
      <c r="G5" s="368"/>
      <c r="H5" s="368"/>
      <c r="I5" s="368"/>
      <c r="J5" s="368"/>
      <c r="K5" s="368"/>
      <c r="L5" s="368"/>
    </row>
    <row r="6" spans="1:12" x14ac:dyDescent="0.25">
      <c r="A6" s="50"/>
      <c r="B6" s="48"/>
      <c r="C6" s="51">
        <f>A6*B6%</f>
        <v>0</v>
      </c>
      <c r="D6" s="52">
        <f>C6</f>
        <v>0</v>
      </c>
      <c r="E6" s="52">
        <f>D6</f>
        <v>0</v>
      </c>
      <c r="F6" s="49"/>
      <c r="G6" s="49"/>
      <c r="H6" s="49"/>
      <c r="I6" s="49"/>
      <c r="J6" s="49"/>
      <c r="K6" s="49"/>
      <c r="L6" s="49"/>
    </row>
    <row r="7" spans="1:12" x14ac:dyDescent="0.25">
      <c r="A7" s="53"/>
      <c r="B7" s="48"/>
      <c r="C7" s="51"/>
      <c r="D7" s="52"/>
      <c r="E7" s="52"/>
      <c r="F7" s="49"/>
      <c r="G7" s="49"/>
      <c r="H7" s="49"/>
      <c r="I7" s="49"/>
      <c r="J7" s="49"/>
      <c r="K7" s="49"/>
      <c r="L7" s="49"/>
    </row>
    <row r="8" spans="1:12" x14ac:dyDescent="0.25">
      <c r="A8" s="355" t="s">
        <v>125</v>
      </c>
      <c r="B8" s="356"/>
      <c r="C8" s="357">
        <f>C5</f>
        <v>5344031.1320000002</v>
      </c>
      <c r="D8" s="357">
        <f t="shared" ref="D8:E8" si="0">D5</f>
        <v>5344031.1320000002</v>
      </c>
      <c r="E8" s="357">
        <f t="shared" si="0"/>
        <v>5344031.1320000002</v>
      </c>
      <c r="F8" s="49"/>
      <c r="G8" s="49"/>
      <c r="H8" s="49"/>
      <c r="I8" s="49"/>
      <c r="J8" s="49"/>
      <c r="K8" s="49"/>
      <c r="L8" s="4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E175"/>
  <sheetViews>
    <sheetView view="pageBreakPreview" topLeftCell="A127" zoomScaleNormal="100" zoomScaleSheetLayoutView="100" workbookViewId="0">
      <selection activeCell="DZ174" sqref="DZ174"/>
    </sheetView>
  </sheetViews>
  <sheetFormatPr defaultColWidth="0.85546875" defaultRowHeight="12" customHeight="1" x14ac:dyDescent="0.25"/>
  <cols>
    <col min="1" max="105" width="0.85546875" style="247"/>
    <col min="106" max="106" width="5.28515625" style="247" bestFit="1" customWidth="1"/>
    <col min="107" max="108" width="0.85546875" style="247"/>
    <col min="109" max="109" width="12.28515625" style="180" customWidth="1"/>
    <col min="110" max="361" width="0.85546875" style="247"/>
    <col min="362" max="362" width="5.28515625" style="247" bestFit="1" customWidth="1"/>
    <col min="363" max="364" width="0.85546875" style="247"/>
    <col min="365" max="365" width="12.28515625" style="247" customWidth="1"/>
    <col min="366" max="617" width="0.85546875" style="247"/>
    <col min="618" max="618" width="5.28515625" style="247" bestFit="1" customWidth="1"/>
    <col min="619" max="620" width="0.85546875" style="247"/>
    <col min="621" max="621" width="12.28515625" style="247" customWidth="1"/>
    <col min="622" max="873" width="0.85546875" style="247"/>
    <col min="874" max="874" width="5.28515625" style="247" bestFit="1" customWidth="1"/>
    <col min="875" max="876" width="0.85546875" style="247"/>
    <col min="877" max="877" width="12.28515625" style="247" customWidth="1"/>
    <col min="878" max="1129" width="0.85546875" style="247"/>
    <col min="1130" max="1130" width="5.28515625" style="247" bestFit="1" customWidth="1"/>
    <col min="1131" max="1132" width="0.85546875" style="247"/>
    <col min="1133" max="1133" width="12.28515625" style="247" customWidth="1"/>
    <col min="1134" max="1385" width="0.85546875" style="247"/>
    <col min="1386" max="1386" width="5.28515625" style="247" bestFit="1" customWidth="1"/>
    <col min="1387" max="1388" width="0.85546875" style="247"/>
    <col min="1389" max="1389" width="12.28515625" style="247" customWidth="1"/>
    <col min="1390" max="1641" width="0.85546875" style="247"/>
    <col min="1642" max="1642" width="5.28515625" style="247" bestFit="1" customWidth="1"/>
    <col min="1643" max="1644" width="0.85546875" style="247"/>
    <col min="1645" max="1645" width="12.28515625" style="247" customWidth="1"/>
    <col min="1646" max="1897" width="0.85546875" style="247"/>
    <col min="1898" max="1898" width="5.28515625" style="247" bestFit="1" customWidth="1"/>
    <col min="1899" max="1900" width="0.85546875" style="247"/>
    <col min="1901" max="1901" width="12.28515625" style="247" customWidth="1"/>
    <col min="1902" max="2153" width="0.85546875" style="247"/>
    <col min="2154" max="2154" width="5.28515625" style="247" bestFit="1" customWidth="1"/>
    <col min="2155" max="2156" width="0.85546875" style="247"/>
    <col min="2157" max="2157" width="12.28515625" style="247" customWidth="1"/>
    <col min="2158" max="2409" width="0.85546875" style="247"/>
    <col min="2410" max="2410" width="5.28515625" style="247" bestFit="1" customWidth="1"/>
    <col min="2411" max="2412" width="0.85546875" style="247"/>
    <col min="2413" max="2413" width="12.28515625" style="247" customWidth="1"/>
    <col min="2414" max="2665" width="0.85546875" style="247"/>
    <col min="2666" max="2666" width="5.28515625" style="247" bestFit="1" customWidth="1"/>
    <col min="2667" max="2668" width="0.85546875" style="247"/>
    <col min="2669" max="2669" width="12.28515625" style="247" customWidth="1"/>
    <col min="2670" max="2921" width="0.85546875" style="247"/>
    <col min="2922" max="2922" width="5.28515625" style="247" bestFit="1" customWidth="1"/>
    <col min="2923" max="2924" width="0.85546875" style="247"/>
    <col min="2925" max="2925" width="12.28515625" style="247" customWidth="1"/>
    <col min="2926" max="3177" width="0.85546875" style="247"/>
    <col min="3178" max="3178" width="5.28515625" style="247" bestFit="1" customWidth="1"/>
    <col min="3179" max="3180" width="0.85546875" style="247"/>
    <col min="3181" max="3181" width="12.28515625" style="247" customWidth="1"/>
    <col min="3182" max="3433" width="0.85546875" style="247"/>
    <col min="3434" max="3434" width="5.28515625" style="247" bestFit="1" customWidth="1"/>
    <col min="3435" max="3436" width="0.85546875" style="247"/>
    <col min="3437" max="3437" width="12.28515625" style="247" customWidth="1"/>
    <col min="3438" max="3689" width="0.85546875" style="247"/>
    <col min="3690" max="3690" width="5.28515625" style="247" bestFit="1" customWidth="1"/>
    <col min="3691" max="3692" width="0.85546875" style="247"/>
    <col min="3693" max="3693" width="12.28515625" style="247" customWidth="1"/>
    <col min="3694" max="3945" width="0.85546875" style="247"/>
    <col min="3946" max="3946" width="5.28515625" style="247" bestFit="1" customWidth="1"/>
    <col min="3947" max="3948" width="0.85546875" style="247"/>
    <col min="3949" max="3949" width="12.28515625" style="247" customWidth="1"/>
    <col min="3950" max="4201" width="0.85546875" style="247"/>
    <col min="4202" max="4202" width="5.28515625" style="247" bestFit="1" customWidth="1"/>
    <col min="4203" max="4204" width="0.85546875" style="247"/>
    <col min="4205" max="4205" width="12.28515625" style="247" customWidth="1"/>
    <col min="4206" max="4457" width="0.85546875" style="247"/>
    <col min="4458" max="4458" width="5.28515625" style="247" bestFit="1" customWidth="1"/>
    <col min="4459" max="4460" width="0.85546875" style="247"/>
    <col min="4461" max="4461" width="12.28515625" style="247" customWidth="1"/>
    <col min="4462" max="4713" width="0.85546875" style="247"/>
    <col min="4714" max="4714" width="5.28515625" style="247" bestFit="1" customWidth="1"/>
    <col min="4715" max="4716" width="0.85546875" style="247"/>
    <col min="4717" max="4717" width="12.28515625" style="247" customWidth="1"/>
    <col min="4718" max="4969" width="0.85546875" style="247"/>
    <col min="4970" max="4970" width="5.28515625" style="247" bestFit="1" customWidth="1"/>
    <col min="4971" max="4972" width="0.85546875" style="247"/>
    <col min="4973" max="4973" width="12.28515625" style="247" customWidth="1"/>
    <col min="4974" max="5225" width="0.85546875" style="247"/>
    <col min="5226" max="5226" width="5.28515625" style="247" bestFit="1" customWidth="1"/>
    <col min="5227" max="5228" width="0.85546875" style="247"/>
    <col min="5229" max="5229" width="12.28515625" style="247" customWidth="1"/>
    <col min="5230" max="5481" width="0.85546875" style="247"/>
    <col min="5482" max="5482" width="5.28515625" style="247" bestFit="1" customWidth="1"/>
    <col min="5483" max="5484" width="0.85546875" style="247"/>
    <col min="5485" max="5485" width="12.28515625" style="247" customWidth="1"/>
    <col min="5486" max="5737" width="0.85546875" style="247"/>
    <col min="5738" max="5738" width="5.28515625" style="247" bestFit="1" customWidth="1"/>
    <col min="5739" max="5740" width="0.85546875" style="247"/>
    <col min="5741" max="5741" width="12.28515625" style="247" customWidth="1"/>
    <col min="5742" max="5993" width="0.85546875" style="247"/>
    <col min="5994" max="5994" width="5.28515625" style="247" bestFit="1" customWidth="1"/>
    <col min="5995" max="5996" width="0.85546875" style="247"/>
    <col min="5997" max="5997" width="12.28515625" style="247" customWidth="1"/>
    <col min="5998" max="6249" width="0.85546875" style="247"/>
    <col min="6250" max="6250" width="5.28515625" style="247" bestFit="1" customWidth="1"/>
    <col min="6251" max="6252" width="0.85546875" style="247"/>
    <col min="6253" max="6253" width="12.28515625" style="247" customWidth="1"/>
    <col min="6254" max="6505" width="0.85546875" style="247"/>
    <col min="6506" max="6506" width="5.28515625" style="247" bestFit="1" customWidth="1"/>
    <col min="6507" max="6508" width="0.85546875" style="247"/>
    <col min="6509" max="6509" width="12.28515625" style="247" customWidth="1"/>
    <col min="6510" max="6761" width="0.85546875" style="247"/>
    <col min="6762" max="6762" width="5.28515625" style="247" bestFit="1" customWidth="1"/>
    <col min="6763" max="6764" width="0.85546875" style="247"/>
    <col min="6765" max="6765" width="12.28515625" style="247" customWidth="1"/>
    <col min="6766" max="7017" width="0.85546875" style="247"/>
    <col min="7018" max="7018" width="5.28515625" style="247" bestFit="1" customWidth="1"/>
    <col min="7019" max="7020" width="0.85546875" style="247"/>
    <col min="7021" max="7021" width="12.28515625" style="247" customWidth="1"/>
    <col min="7022" max="7273" width="0.85546875" style="247"/>
    <col min="7274" max="7274" width="5.28515625" style="247" bestFit="1" customWidth="1"/>
    <col min="7275" max="7276" width="0.85546875" style="247"/>
    <col min="7277" max="7277" width="12.28515625" style="247" customWidth="1"/>
    <col min="7278" max="7529" width="0.85546875" style="247"/>
    <col min="7530" max="7530" width="5.28515625" style="247" bestFit="1" customWidth="1"/>
    <col min="7531" max="7532" width="0.85546875" style="247"/>
    <col min="7533" max="7533" width="12.28515625" style="247" customWidth="1"/>
    <col min="7534" max="7785" width="0.85546875" style="247"/>
    <col min="7786" max="7786" width="5.28515625" style="247" bestFit="1" customWidth="1"/>
    <col min="7787" max="7788" width="0.85546875" style="247"/>
    <col min="7789" max="7789" width="12.28515625" style="247" customWidth="1"/>
    <col min="7790" max="8041" width="0.85546875" style="247"/>
    <col min="8042" max="8042" width="5.28515625" style="247" bestFit="1" customWidth="1"/>
    <col min="8043" max="8044" width="0.85546875" style="247"/>
    <col min="8045" max="8045" width="12.28515625" style="247" customWidth="1"/>
    <col min="8046" max="8297" width="0.85546875" style="247"/>
    <col min="8298" max="8298" width="5.28515625" style="247" bestFit="1" customWidth="1"/>
    <col min="8299" max="8300" width="0.85546875" style="247"/>
    <col min="8301" max="8301" width="12.28515625" style="247" customWidth="1"/>
    <col min="8302" max="8553" width="0.85546875" style="247"/>
    <col min="8554" max="8554" width="5.28515625" style="247" bestFit="1" customWidth="1"/>
    <col min="8555" max="8556" width="0.85546875" style="247"/>
    <col min="8557" max="8557" width="12.28515625" style="247" customWidth="1"/>
    <col min="8558" max="8809" width="0.85546875" style="247"/>
    <col min="8810" max="8810" width="5.28515625" style="247" bestFit="1" customWidth="1"/>
    <col min="8811" max="8812" width="0.85546875" style="247"/>
    <col min="8813" max="8813" width="12.28515625" style="247" customWidth="1"/>
    <col min="8814" max="9065" width="0.85546875" style="247"/>
    <col min="9066" max="9066" width="5.28515625" style="247" bestFit="1" customWidth="1"/>
    <col min="9067" max="9068" width="0.85546875" style="247"/>
    <col min="9069" max="9069" width="12.28515625" style="247" customWidth="1"/>
    <col min="9070" max="9321" width="0.85546875" style="247"/>
    <col min="9322" max="9322" width="5.28515625" style="247" bestFit="1" customWidth="1"/>
    <col min="9323" max="9324" width="0.85546875" style="247"/>
    <col min="9325" max="9325" width="12.28515625" style="247" customWidth="1"/>
    <col min="9326" max="9577" width="0.85546875" style="247"/>
    <col min="9578" max="9578" width="5.28515625" style="247" bestFit="1" customWidth="1"/>
    <col min="9579" max="9580" width="0.85546875" style="247"/>
    <col min="9581" max="9581" width="12.28515625" style="247" customWidth="1"/>
    <col min="9582" max="9833" width="0.85546875" style="247"/>
    <col min="9834" max="9834" width="5.28515625" style="247" bestFit="1" customWidth="1"/>
    <col min="9835" max="9836" width="0.85546875" style="247"/>
    <col min="9837" max="9837" width="12.28515625" style="247" customWidth="1"/>
    <col min="9838" max="10089" width="0.85546875" style="247"/>
    <col min="10090" max="10090" width="5.28515625" style="247" bestFit="1" customWidth="1"/>
    <col min="10091" max="10092" width="0.85546875" style="247"/>
    <col min="10093" max="10093" width="12.28515625" style="247" customWidth="1"/>
    <col min="10094" max="10345" width="0.85546875" style="247"/>
    <col min="10346" max="10346" width="5.28515625" style="247" bestFit="1" customWidth="1"/>
    <col min="10347" max="10348" width="0.85546875" style="247"/>
    <col min="10349" max="10349" width="12.28515625" style="247" customWidth="1"/>
    <col min="10350" max="10601" width="0.85546875" style="247"/>
    <col min="10602" max="10602" width="5.28515625" style="247" bestFit="1" customWidth="1"/>
    <col min="10603" max="10604" width="0.85546875" style="247"/>
    <col min="10605" max="10605" width="12.28515625" style="247" customWidth="1"/>
    <col min="10606" max="10857" width="0.85546875" style="247"/>
    <col min="10858" max="10858" width="5.28515625" style="247" bestFit="1" customWidth="1"/>
    <col min="10859" max="10860" width="0.85546875" style="247"/>
    <col min="10861" max="10861" width="12.28515625" style="247" customWidth="1"/>
    <col min="10862" max="11113" width="0.85546875" style="247"/>
    <col min="11114" max="11114" width="5.28515625" style="247" bestFit="1" customWidth="1"/>
    <col min="11115" max="11116" width="0.85546875" style="247"/>
    <col min="11117" max="11117" width="12.28515625" style="247" customWidth="1"/>
    <col min="11118" max="11369" width="0.85546875" style="247"/>
    <col min="11370" max="11370" width="5.28515625" style="247" bestFit="1" customWidth="1"/>
    <col min="11371" max="11372" width="0.85546875" style="247"/>
    <col min="11373" max="11373" width="12.28515625" style="247" customWidth="1"/>
    <col min="11374" max="11625" width="0.85546875" style="247"/>
    <col min="11626" max="11626" width="5.28515625" style="247" bestFit="1" customWidth="1"/>
    <col min="11627" max="11628" width="0.85546875" style="247"/>
    <col min="11629" max="11629" width="12.28515625" style="247" customWidth="1"/>
    <col min="11630" max="11881" width="0.85546875" style="247"/>
    <col min="11882" max="11882" width="5.28515625" style="247" bestFit="1" customWidth="1"/>
    <col min="11883" max="11884" width="0.85546875" style="247"/>
    <col min="11885" max="11885" width="12.28515625" style="247" customWidth="1"/>
    <col min="11886" max="12137" width="0.85546875" style="247"/>
    <col min="12138" max="12138" width="5.28515625" style="247" bestFit="1" customWidth="1"/>
    <col min="12139" max="12140" width="0.85546875" style="247"/>
    <col min="12141" max="12141" width="12.28515625" style="247" customWidth="1"/>
    <col min="12142" max="12393" width="0.85546875" style="247"/>
    <col min="12394" max="12394" width="5.28515625" style="247" bestFit="1" customWidth="1"/>
    <col min="12395" max="12396" width="0.85546875" style="247"/>
    <col min="12397" max="12397" width="12.28515625" style="247" customWidth="1"/>
    <col min="12398" max="12649" width="0.85546875" style="247"/>
    <col min="12650" max="12650" width="5.28515625" style="247" bestFit="1" customWidth="1"/>
    <col min="12651" max="12652" width="0.85546875" style="247"/>
    <col min="12653" max="12653" width="12.28515625" style="247" customWidth="1"/>
    <col min="12654" max="12905" width="0.85546875" style="247"/>
    <col min="12906" max="12906" width="5.28515625" style="247" bestFit="1" customWidth="1"/>
    <col min="12907" max="12908" width="0.85546875" style="247"/>
    <col min="12909" max="12909" width="12.28515625" style="247" customWidth="1"/>
    <col min="12910" max="13161" width="0.85546875" style="247"/>
    <col min="13162" max="13162" width="5.28515625" style="247" bestFit="1" customWidth="1"/>
    <col min="13163" max="13164" width="0.85546875" style="247"/>
    <col min="13165" max="13165" width="12.28515625" style="247" customWidth="1"/>
    <col min="13166" max="13417" width="0.85546875" style="247"/>
    <col min="13418" max="13418" width="5.28515625" style="247" bestFit="1" customWidth="1"/>
    <col min="13419" max="13420" width="0.85546875" style="247"/>
    <col min="13421" max="13421" width="12.28515625" style="247" customWidth="1"/>
    <col min="13422" max="13673" width="0.85546875" style="247"/>
    <col min="13674" max="13674" width="5.28515625" style="247" bestFit="1" customWidth="1"/>
    <col min="13675" max="13676" width="0.85546875" style="247"/>
    <col min="13677" max="13677" width="12.28515625" style="247" customWidth="1"/>
    <col min="13678" max="13929" width="0.85546875" style="247"/>
    <col min="13930" max="13930" width="5.28515625" style="247" bestFit="1" customWidth="1"/>
    <col min="13931" max="13932" width="0.85546875" style="247"/>
    <col min="13933" max="13933" width="12.28515625" style="247" customWidth="1"/>
    <col min="13934" max="14185" width="0.85546875" style="247"/>
    <col min="14186" max="14186" width="5.28515625" style="247" bestFit="1" customWidth="1"/>
    <col min="14187" max="14188" width="0.85546875" style="247"/>
    <col min="14189" max="14189" width="12.28515625" style="247" customWidth="1"/>
    <col min="14190" max="14441" width="0.85546875" style="247"/>
    <col min="14442" max="14442" width="5.28515625" style="247" bestFit="1" customWidth="1"/>
    <col min="14443" max="14444" width="0.85546875" style="247"/>
    <col min="14445" max="14445" width="12.28515625" style="247" customWidth="1"/>
    <col min="14446" max="14697" width="0.85546875" style="247"/>
    <col min="14698" max="14698" width="5.28515625" style="247" bestFit="1" customWidth="1"/>
    <col min="14699" max="14700" width="0.85546875" style="247"/>
    <col min="14701" max="14701" width="12.28515625" style="247" customWidth="1"/>
    <col min="14702" max="14953" width="0.85546875" style="247"/>
    <col min="14954" max="14954" width="5.28515625" style="247" bestFit="1" customWidth="1"/>
    <col min="14955" max="14956" width="0.85546875" style="247"/>
    <col min="14957" max="14957" width="12.28515625" style="247" customWidth="1"/>
    <col min="14958" max="15209" width="0.85546875" style="247"/>
    <col min="15210" max="15210" width="5.28515625" style="247" bestFit="1" customWidth="1"/>
    <col min="15211" max="15212" width="0.85546875" style="247"/>
    <col min="15213" max="15213" width="12.28515625" style="247" customWidth="1"/>
    <col min="15214" max="15465" width="0.85546875" style="247"/>
    <col min="15466" max="15466" width="5.28515625" style="247" bestFit="1" customWidth="1"/>
    <col min="15467" max="15468" width="0.85546875" style="247"/>
    <col min="15469" max="15469" width="12.28515625" style="247" customWidth="1"/>
    <col min="15470" max="15721" width="0.85546875" style="247"/>
    <col min="15722" max="15722" width="5.28515625" style="247" bestFit="1" customWidth="1"/>
    <col min="15723" max="15724" width="0.85546875" style="247"/>
    <col min="15725" max="15725" width="12.28515625" style="247" customWidth="1"/>
    <col min="15726" max="15977" width="0.85546875" style="247"/>
    <col min="15978" max="15978" width="5.28515625" style="247" bestFit="1" customWidth="1"/>
    <col min="15979" max="15980" width="0.85546875" style="247"/>
    <col min="15981" max="15981" width="12.28515625" style="247" customWidth="1"/>
    <col min="15982" max="16233" width="0.85546875" style="247"/>
    <col min="16234" max="16234" width="5.28515625" style="247" bestFit="1" customWidth="1"/>
    <col min="16235" max="16236" width="0.85546875" style="247"/>
    <col min="16237" max="16237" width="12.28515625" style="247" customWidth="1"/>
    <col min="16238" max="16384" width="0.85546875" style="247"/>
  </cols>
  <sheetData>
    <row r="1" spans="1:109" ht="3" customHeight="1" x14ac:dyDescent="0.25"/>
    <row r="3" spans="1:109" s="248" customFormat="1" ht="14.25" x14ac:dyDescent="0.2">
      <c r="A3" s="527" t="s">
        <v>604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7"/>
      <c r="CB3" s="527"/>
      <c r="CC3" s="527"/>
      <c r="CD3" s="527"/>
      <c r="CE3" s="527"/>
      <c r="CF3" s="527"/>
      <c r="CG3" s="527"/>
      <c r="CH3" s="527"/>
      <c r="CI3" s="527"/>
      <c r="CJ3" s="527"/>
      <c r="CK3" s="527"/>
      <c r="CL3" s="527"/>
      <c r="CM3" s="527"/>
      <c r="CN3" s="527"/>
      <c r="CO3" s="527"/>
      <c r="CP3" s="527"/>
      <c r="CQ3" s="527"/>
      <c r="CR3" s="527"/>
      <c r="CS3" s="527"/>
      <c r="CT3" s="527"/>
      <c r="CU3" s="527"/>
      <c r="CV3" s="527"/>
      <c r="CW3" s="527"/>
      <c r="CX3" s="527"/>
      <c r="CY3" s="527"/>
      <c r="CZ3" s="527"/>
      <c r="DA3" s="527"/>
      <c r="DE3" s="96" t="s">
        <v>605</v>
      </c>
    </row>
    <row r="4" spans="1:109" ht="10.5" customHeight="1" x14ac:dyDescent="0.25"/>
    <row r="5" spans="1:109" s="251" customFormat="1" ht="55.5" customHeight="1" x14ac:dyDescent="0.25">
      <c r="A5" s="520" t="s">
        <v>176</v>
      </c>
      <c r="B5" s="521"/>
      <c r="C5" s="521"/>
      <c r="D5" s="521"/>
      <c r="E5" s="521"/>
      <c r="F5" s="522"/>
      <c r="G5" s="520" t="s">
        <v>508</v>
      </c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2"/>
      <c r="AE5" s="520" t="s">
        <v>523</v>
      </c>
      <c r="AF5" s="521"/>
      <c r="AG5" s="521"/>
      <c r="AH5" s="521"/>
      <c r="AI5" s="521"/>
      <c r="AJ5" s="521"/>
      <c r="AK5" s="521"/>
      <c r="AL5" s="521"/>
      <c r="AM5" s="521"/>
      <c r="AN5" s="521"/>
      <c r="AO5" s="521"/>
      <c r="AP5" s="521"/>
      <c r="AQ5" s="521"/>
      <c r="AR5" s="521"/>
      <c r="AS5" s="521"/>
      <c r="AT5" s="521"/>
      <c r="AU5" s="521"/>
      <c r="AV5" s="521"/>
      <c r="AW5" s="521"/>
      <c r="AX5" s="521"/>
      <c r="AY5" s="522"/>
      <c r="AZ5" s="520" t="s">
        <v>524</v>
      </c>
      <c r="BA5" s="521"/>
      <c r="BB5" s="521"/>
      <c r="BC5" s="521"/>
      <c r="BD5" s="521"/>
      <c r="BE5" s="521"/>
      <c r="BF5" s="521"/>
      <c r="BG5" s="521"/>
      <c r="BH5" s="521"/>
      <c r="BI5" s="521"/>
      <c r="BJ5" s="521"/>
      <c r="BK5" s="521"/>
      <c r="BL5" s="521"/>
      <c r="BM5" s="521"/>
      <c r="BN5" s="521"/>
      <c r="BO5" s="521"/>
      <c r="BP5" s="521"/>
      <c r="BQ5" s="522"/>
      <c r="BR5" s="520" t="s">
        <v>525</v>
      </c>
      <c r="BS5" s="521"/>
      <c r="BT5" s="521"/>
      <c r="BU5" s="521"/>
      <c r="BV5" s="521"/>
      <c r="BW5" s="521"/>
      <c r="BX5" s="521"/>
      <c r="BY5" s="521"/>
      <c r="BZ5" s="521"/>
      <c r="CA5" s="521"/>
      <c r="CB5" s="521"/>
      <c r="CC5" s="521"/>
      <c r="CD5" s="521"/>
      <c r="CE5" s="521"/>
      <c r="CF5" s="521"/>
      <c r="CG5" s="521"/>
      <c r="CH5" s="521"/>
      <c r="CI5" s="522"/>
      <c r="CJ5" s="520" t="s">
        <v>512</v>
      </c>
      <c r="CK5" s="521"/>
      <c r="CL5" s="521"/>
      <c r="CM5" s="521"/>
      <c r="CN5" s="521"/>
      <c r="CO5" s="521"/>
      <c r="CP5" s="521"/>
      <c r="CQ5" s="521"/>
      <c r="CR5" s="521"/>
      <c r="CS5" s="521"/>
      <c r="CT5" s="521"/>
      <c r="CU5" s="521"/>
      <c r="CV5" s="521"/>
      <c r="CW5" s="521"/>
      <c r="CX5" s="521"/>
      <c r="CY5" s="521"/>
      <c r="CZ5" s="521"/>
      <c r="DA5" s="522"/>
    </row>
    <row r="6" spans="1:109" s="187" customFormat="1" ht="12.75" x14ac:dyDescent="0.25">
      <c r="A6" s="515">
        <v>1</v>
      </c>
      <c r="B6" s="515"/>
      <c r="C6" s="515"/>
      <c r="D6" s="515"/>
      <c r="E6" s="515"/>
      <c r="F6" s="515"/>
      <c r="G6" s="515">
        <v>2</v>
      </c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>
        <v>3</v>
      </c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  <c r="AW6" s="515"/>
      <c r="AX6" s="515"/>
      <c r="AY6" s="515"/>
      <c r="AZ6" s="515">
        <v>4</v>
      </c>
      <c r="BA6" s="515"/>
      <c r="BB6" s="515"/>
      <c r="BC6" s="515"/>
      <c r="BD6" s="515"/>
      <c r="BE6" s="515"/>
      <c r="BF6" s="515"/>
      <c r="BG6" s="515"/>
      <c r="BH6" s="515"/>
      <c r="BI6" s="515"/>
      <c r="BJ6" s="515"/>
      <c r="BK6" s="515"/>
      <c r="BL6" s="515"/>
      <c r="BM6" s="515"/>
      <c r="BN6" s="515"/>
      <c r="BO6" s="515"/>
      <c r="BP6" s="515"/>
      <c r="BQ6" s="515"/>
      <c r="BR6" s="515">
        <v>5</v>
      </c>
      <c r="BS6" s="515"/>
      <c r="BT6" s="515"/>
      <c r="BU6" s="515"/>
      <c r="BV6" s="515"/>
      <c r="BW6" s="515"/>
      <c r="BX6" s="515"/>
      <c r="BY6" s="515"/>
      <c r="BZ6" s="515"/>
      <c r="CA6" s="515"/>
      <c r="CB6" s="515"/>
      <c r="CC6" s="515"/>
      <c r="CD6" s="515"/>
      <c r="CE6" s="515"/>
      <c r="CF6" s="515"/>
      <c r="CG6" s="515"/>
      <c r="CH6" s="515"/>
      <c r="CI6" s="515"/>
      <c r="CJ6" s="515">
        <v>6</v>
      </c>
      <c r="CK6" s="515"/>
      <c r="CL6" s="515"/>
      <c r="CM6" s="515"/>
      <c r="CN6" s="515"/>
      <c r="CO6" s="515"/>
      <c r="CP6" s="515"/>
      <c r="CQ6" s="515"/>
      <c r="CR6" s="515"/>
      <c r="CS6" s="515"/>
      <c r="CT6" s="515"/>
      <c r="CU6" s="515"/>
      <c r="CV6" s="515"/>
      <c r="CW6" s="515"/>
      <c r="CX6" s="515"/>
      <c r="CY6" s="515"/>
      <c r="CZ6" s="515"/>
      <c r="DA6" s="515"/>
    </row>
    <row r="7" spans="1:109" s="250" customFormat="1" ht="27" customHeight="1" x14ac:dyDescent="0.25">
      <c r="A7" s="508" t="s">
        <v>513</v>
      </c>
      <c r="B7" s="508"/>
      <c r="C7" s="508"/>
      <c r="D7" s="508"/>
      <c r="E7" s="508"/>
      <c r="F7" s="508"/>
      <c r="G7" s="509" t="s">
        <v>606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10">
        <v>1</v>
      </c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>
        <v>12</v>
      </c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0"/>
      <c r="BS7" s="510"/>
      <c r="BT7" s="510"/>
      <c r="BU7" s="510"/>
      <c r="BV7" s="510"/>
      <c r="BW7" s="510"/>
      <c r="BX7" s="510"/>
      <c r="BY7" s="510"/>
      <c r="BZ7" s="510"/>
      <c r="CA7" s="510"/>
      <c r="CB7" s="510"/>
      <c r="CC7" s="510"/>
      <c r="CD7" s="510"/>
      <c r="CE7" s="510"/>
      <c r="CF7" s="510"/>
      <c r="CG7" s="510"/>
      <c r="CH7" s="510"/>
      <c r="CI7" s="510"/>
      <c r="CJ7" s="510">
        <f>AE7*AZ7*BR7</f>
        <v>0</v>
      </c>
      <c r="CK7" s="510"/>
      <c r="CL7" s="510"/>
      <c r="CM7" s="510"/>
      <c r="CN7" s="510"/>
      <c r="CO7" s="510"/>
      <c r="CP7" s="510"/>
      <c r="CQ7" s="510"/>
      <c r="CR7" s="510"/>
      <c r="CS7" s="510"/>
      <c r="CT7" s="510"/>
      <c r="CU7" s="510"/>
      <c r="CV7" s="510"/>
      <c r="CW7" s="510"/>
      <c r="CX7" s="510"/>
      <c r="CY7" s="510"/>
      <c r="CZ7" s="510"/>
      <c r="DA7" s="510"/>
    </row>
    <row r="8" spans="1:109" s="250" customFormat="1" ht="15" customHeight="1" x14ac:dyDescent="0.25">
      <c r="A8" s="508"/>
      <c r="B8" s="508"/>
      <c r="C8" s="508"/>
      <c r="D8" s="508"/>
      <c r="E8" s="508"/>
      <c r="F8" s="508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0"/>
      <c r="AP8" s="510"/>
      <c r="AQ8" s="510"/>
      <c r="AR8" s="510"/>
      <c r="AS8" s="510"/>
      <c r="AT8" s="510"/>
      <c r="AU8" s="510"/>
      <c r="AV8" s="510"/>
      <c r="AW8" s="510"/>
      <c r="AX8" s="510"/>
      <c r="AY8" s="510"/>
      <c r="AZ8" s="510"/>
      <c r="BA8" s="510"/>
      <c r="BB8" s="510"/>
      <c r="BC8" s="510"/>
      <c r="BD8" s="510"/>
      <c r="BE8" s="510"/>
      <c r="BF8" s="510"/>
      <c r="BG8" s="510"/>
      <c r="BH8" s="510"/>
      <c r="BI8" s="510"/>
      <c r="BJ8" s="510"/>
      <c r="BK8" s="510"/>
      <c r="BL8" s="510"/>
      <c r="BM8" s="510"/>
      <c r="BN8" s="510"/>
      <c r="BO8" s="510"/>
      <c r="BP8" s="510"/>
      <c r="BQ8" s="510"/>
      <c r="BR8" s="510"/>
      <c r="BS8" s="510"/>
      <c r="BT8" s="510"/>
      <c r="BU8" s="510"/>
      <c r="BV8" s="510"/>
      <c r="BW8" s="510"/>
      <c r="BX8" s="510"/>
      <c r="BY8" s="510"/>
      <c r="BZ8" s="510"/>
      <c r="CA8" s="510"/>
      <c r="CB8" s="510"/>
      <c r="CC8" s="510"/>
      <c r="CD8" s="510"/>
      <c r="CE8" s="510"/>
      <c r="CF8" s="510"/>
      <c r="CG8" s="510"/>
      <c r="CH8" s="510"/>
      <c r="CI8" s="510"/>
      <c r="CJ8" s="510"/>
      <c r="CK8" s="510"/>
      <c r="CL8" s="510"/>
      <c r="CM8" s="510"/>
      <c r="CN8" s="510"/>
      <c r="CO8" s="510"/>
      <c r="CP8" s="510"/>
      <c r="CQ8" s="510"/>
      <c r="CR8" s="510"/>
      <c r="CS8" s="510"/>
      <c r="CT8" s="510"/>
      <c r="CU8" s="510"/>
      <c r="CV8" s="510"/>
      <c r="CW8" s="510"/>
      <c r="CX8" s="510"/>
      <c r="CY8" s="510"/>
      <c r="CZ8" s="510"/>
      <c r="DA8" s="510"/>
    </row>
    <row r="9" spans="1:109" s="250" customFormat="1" ht="15" customHeight="1" x14ac:dyDescent="0.25">
      <c r="A9" s="508"/>
      <c r="B9" s="508"/>
      <c r="C9" s="508"/>
      <c r="D9" s="508"/>
      <c r="E9" s="508"/>
      <c r="F9" s="508"/>
      <c r="G9" s="512" t="s">
        <v>521</v>
      </c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3"/>
      <c r="AE9" s="510" t="s">
        <v>494</v>
      </c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0"/>
      <c r="AX9" s="510"/>
      <c r="AY9" s="510"/>
      <c r="AZ9" s="510" t="s">
        <v>494</v>
      </c>
      <c r="BA9" s="510"/>
      <c r="BB9" s="510"/>
      <c r="BC9" s="510"/>
      <c r="BD9" s="510"/>
      <c r="BE9" s="510"/>
      <c r="BF9" s="510"/>
      <c r="BG9" s="510"/>
      <c r="BH9" s="510"/>
      <c r="BI9" s="510"/>
      <c r="BJ9" s="510"/>
      <c r="BK9" s="510"/>
      <c r="BL9" s="510"/>
      <c r="BM9" s="510"/>
      <c r="BN9" s="510"/>
      <c r="BO9" s="510"/>
      <c r="BP9" s="510"/>
      <c r="BQ9" s="510"/>
      <c r="BR9" s="510" t="s">
        <v>494</v>
      </c>
      <c r="BS9" s="510"/>
      <c r="BT9" s="510"/>
      <c r="BU9" s="510"/>
      <c r="BV9" s="510"/>
      <c r="BW9" s="510"/>
      <c r="BX9" s="510"/>
      <c r="BY9" s="510"/>
      <c r="BZ9" s="510"/>
      <c r="CA9" s="510"/>
      <c r="CB9" s="510"/>
      <c r="CC9" s="510"/>
      <c r="CD9" s="510"/>
      <c r="CE9" s="510"/>
      <c r="CF9" s="510"/>
      <c r="CG9" s="510"/>
      <c r="CH9" s="510"/>
      <c r="CI9" s="510"/>
      <c r="CJ9" s="514">
        <f>ROUND((CJ7),-2)</f>
        <v>0</v>
      </c>
      <c r="CK9" s="514"/>
      <c r="CL9" s="514"/>
      <c r="CM9" s="514"/>
      <c r="CN9" s="514"/>
      <c r="CO9" s="514"/>
      <c r="CP9" s="514"/>
      <c r="CQ9" s="514"/>
      <c r="CR9" s="514"/>
      <c r="CS9" s="514"/>
      <c r="CT9" s="514"/>
      <c r="CU9" s="514"/>
      <c r="CV9" s="514"/>
      <c r="CW9" s="514"/>
      <c r="CX9" s="514"/>
      <c r="CY9" s="514"/>
      <c r="CZ9" s="514"/>
      <c r="DA9" s="514"/>
      <c r="DE9" s="250">
        <v>212</v>
      </c>
    </row>
    <row r="11" spans="1:109" ht="3" customHeight="1" x14ac:dyDescent="0.25"/>
    <row r="12" spans="1:109" s="248" customFormat="1" ht="64.5" customHeight="1" x14ac:dyDescent="0.2">
      <c r="A12" s="638" t="s">
        <v>607</v>
      </c>
      <c r="B12" s="638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B12" s="638"/>
      <c r="BC12" s="638"/>
      <c r="BD12" s="638"/>
      <c r="BE12" s="638"/>
      <c r="BF12" s="638"/>
      <c r="BG12" s="638"/>
      <c r="BH12" s="638"/>
      <c r="BI12" s="638"/>
      <c r="BJ12" s="638"/>
      <c r="BK12" s="638"/>
      <c r="BL12" s="638"/>
      <c r="BM12" s="638"/>
      <c r="BN12" s="638"/>
      <c r="BO12" s="638"/>
      <c r="BP12" s="638"/>
      <c r="BQ12" s="638"/>
      <c r="BR12" s="638"/>
      <c r="BS12" s="638"/>
      <c r="BT12" s="638"/>
      <c r="BU12" s="638"/>
      <c r="BV12" s="638"/>
      <c r="BW12" s="638"/>
      <c r="BX12" s="638"/>
      <c r="BY12" s="638"/>
      <c r="BZ12" s="638"/>
      <c r="CA12" s="638"/>
      <c r="CB12" s="638"/>
      <c r="CC12" s="638"/>
      <c r="CD12" s="638"/>
      <c r="CE12" s="638"/>
      <c r="CF12" s="638"/>
      <c r="CG12" s="638"/>
      <c r="CH12" s="638"/>
      <c r="CI12" s="638"/>
      <c r="CJ12" s="638"/>
      <c r="CK12" s="638"/>
      <c r="CL12" s="638"/>
      <c r="CM12" s="638"/>
      <c r="CN12" s="638"/>
      <c r="CO12" s="638"/>
      <c r="CP12" s="638"/>
      <c r="CQ12" s="638"/>
      <c r="CR12" s="638"/>
      <c r="CS12" s="638"/>
      <c r="CT12" s="638"/>
      <c r="CU12" s="638"/>
      <c r="CV12" s="638"/>
      <c r="CW12" s="638"/>
      <c r="CX12" s="638"/>
      <c r="CY12" s="638"/>
      <c r="CZ12" s="638"/>
      <c r="DA12" s="638"/>
      <c r="DE12" s="96" t="s">
        <v>605</v>
      </c>
    </row>
    <row r="13" spans="1:109" ht="10.5" customHeight="1" x14ac:dyDescent="0.25"/>
    <row r="14" spans="1:109" ht="55.5" customHeight="1" x14ac:dyDescent="0.25">
      <c r="A14" s="520" t="s">
        <v>176</v>
      </c>
      <c r="B14" s="521"/>
      <c r="C14" s="521"/>
      <c r="D14" s="521"/>
      <c r="E14" s="521"/>
      <c r="F14" s="522"/>
      <c r="G14" s="520" t="s">
        <v>527</v>
      </c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1"/>
      <c r="BM14" s="521"/>
      <c r="BN14" s="521"/>
      <c r="BO14" s="521"/>
      <c r="BP14" s="521"/>
      <c r="BQ14" s="521"/>
      <c r="BR14" s="521"/>
      <c r="BS14" s="521"/>
      <c r="BT14" s="521"/>
      <c r="BU14" s="521"/>
      <c r="BV14" s="522"/>
      <c r="BW14" s="520" t="s">
        <v>528</v>
      </c>
      <c r="BX14" s="521"/>
      <c r="BY14" s="521"/>
      <c r="BZ14" s="521"/>
      <c r="CA14" s="521"/>
      <c r="CB14" s="521"/>
      <c r="CC14" s="521"/>
      <c r="CD14" s="521"/>
      <c r="CE14" s="521"/>
      <c r="CF14" s="521"/>
      <c r="CG14" s="521"/>
      <c r="CH14" s="521"/>
      <c r="CI14" s="521"/>
      <c r="CJ14" s="521"/>
      <c r="CK14" s="521"/>
      <c r="CL14" s="522"/>
      <c r="CM14" s="520" t="s">
        <v>529</v>
      </c>
      <c r="CN14" s="521"/>
      <c r="CO14" s="521"/>
      <c r="CP14" s="521"/>
      <c r="CQ14" s="521"/>
      <c r="CR14" s="521"/>
      <c r="CS14" s="521"/>
      <c r="CT14" s="521"/>
      <c r="CU14" s="521"/>
      <c r="CV14" s="521"/>
      <c r="CW14" s="521"/>
      <c r="CX14" s="521"/>
      <c r="CY14" s="521"/>
      <c r="CZ14" s="521"/>
      <c r="DA14" s="522"/>
    </row>
    <row r="15" spans="1:109" s="180" customFormat="1" ht="12.75" x14ac:dyDescent="0.2">
      <c r="A15" s="515">
        <v>1</v>
      </c>
      <c r="B15" s="515"/>
      <c r="C15" s="515"/>
      <c r="D15" s="515"/>
      <c r="E15" s="515"/>
      <c r="F15" s="515"/>
      <c r="G15" s="515">
        <v>2</v>
      </c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515"/>
      <c r="AX15" s="515"/>
      <c r="AY15" s="515"/>
      <c r="AZ15" s="515"/>
      <c r="BA15" s="515"/>
      <c r="BB15" s="515"/>
      <c r="BC15" s="515"/>
      <c r="BD15" s="515"/>
      <c r="BE15" s="515"/>
      <c r="BF15" s="515"/>
      <c r="BG15" s="515"/>
      <c r="BH15" s="515"/>
      <c r="BI15" s="515"/>
      <c r="BJ15" s="515"/>
      <c r="BK15" s="515"/>
      <c r="BL15" s="515"/>
      <c r="BM15" s="515"/>
      <c r="BN15" s="515"/>
      <c r="BO15" s="515"/>
      <c r="BP15" s="515"/>
      <c r="BQ15" s="515"/>
      <c r="BR15" s="515"/>
      <c r="BS15" s="515"/>
      <c r="BT15" s="515"/>
      <c r="BU15" s="515"/>
      <c r="BV15" s="515"/>
      <c r="BW15" s="515">
        <v>3</v>
      </c>
      <c r="BX15" s="515"/>
      <c r="BY15" s="515"/>
      <c r="BZ15" s="515"/>
      <c r="CA15" s="515"/>
      <c r="CB15" s="515"/>
      <c r="CC15" s="515"/>
      <c r="CD15" s="515"/>
      <c r="CE15" s="515"/>
      <c r="CF15" s="515"/>
      <c r="CG15" s="515"/>
      <c r="CH15" s="515"/>
      <c r="CI15" s="515"/>
      <c r="CJ15" s="515"/>
      <c r="CK15" s="515"/>
      <c r="CL15" s="515"/>
      <c r="CM15" s="515">
        <v>4</v>
      </c>
      <c r="CN15" s="515"/>
      <c r="CO15" s="515"/>
      <c r="CP15" s="515"/>
      <c r="CQ15" s="515"/>
      <c r="CR15" s="515"/>
      <c r="CS15" s="515"/>
      <c r="CT15" s="515"/>
      <c r="CU15" s="515"/>
      <c r="CV15" s="515"/>
      <c r="CW15" s="515"/>
      <c r="CX15" s="515"/>
      <c r="CY15" s="515"/>
      <c r="CZ15" s="515"/>
      <c r="DA15" s="515"/>
    </row>
    <row r="16" spans="1:109" ht="15" customHeight="1" x14ac:dyDescent="0.25">
      <c r="A16" s="508" t="s">
        <v>513</v>
      </c>
      <c r="B16" s="508"/>
      <c r="C16" s="508"/>
      <c r="D16" s="508"/>
      <c r="E16" s="508"/>
      <c r="F16" s="508"/>
      <c r="G16" s="254"/>
      <c r="H16" s="524" t="s">
        <v>530</v>
      </c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/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/>
      <c r="BV16" s="525"/>
      <c r="BW16" s="510" t="s">
        <v>494</v>
      </c>
      <c r="BX16" s="510"/>
      <c r="BY16" s="510"/>
      <c r="BZ16" s="510"/>
      <c r="CA16" s="510"/>
      <c r="CB16" s="510"/>
      <c r="CC16" s="510"/>
      <c r="CD16" s="510"/>
      <c r="CE16" s="510"/>
      <c r="CF16" s="510"/>
      <c r="CG16" s="510"/>
      <c r="CH16" s="510"/>
      <c r="CI16" s="510"/>
      <c r="CJ16" s="510"/>
      <c r="CK16" s="510"/>
      <c r="CL16" s="510"/>
      <c r="CM16" s="510"/>
      <c r="CN16" s="510"/>
      <c r="CO16" s="510"/>
      <c r="CP16" s="510"/>
      <c r="CQ16" s="510"/>
      <c r="CR16" s="510"/>
      <c r="CS16" s="510"/>
      <c r="CT16" s="510"/>
      <c r="CU16" s="510"/>
      <c r="CV16" s="510"/>
      <c r="CW16" s="510"/>
      <c r="CX16" s="510"/>
      <c r="CY16" s="510"/>
      <c r="CZ16" s="510"/>
      <c r="DA16" s="510"/>
    </row>
    <row r="17" spans="1:109" s="180" customFormat="1" ht="12.75" x14ac:dyDescent="0.2">
      <c r="A17" s="544" t="s">
        <v>531</v>
      </c>
      <c r="B17" s="545"/>
      <c r="C17" s="545"/>
      <c r="D17" s="545"/>
      <c r="E17" s="545"/>
      <c r="F17" s="546"/>
      <c r="G17" s="255"/>
      <c r="H17" s="550" t="s">
        <v>237</v>
      </c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1"/>
      <c r="BW17" s="629">
        <v>345400</v>
      </c>
      <c r="BX17" s="630"/>
      <c r="BY17" s="630"/>
      <c r="BZ17" s="630"/>
      <c r="CA17" s="630"/>
      <c r="CB17" s="630"/>
      <c r="CC17" s="630"/>
      <c r="CD17" s="630"/>
      <c r="CE17" s="630"/>
      <c r="CF17" s="630"/>
      <c r="CG17" s="630"/>
      <c r="CH17" s="630"/>
      <c r="CI17" s="630"/>
      <c r="CJ17" s="630"/>
      <c r="CK17" s="630"/>
      <c r="CL17" s="631"/>
      <c r="CM17" s="552">
        <f>BW17*22%</f>
        <v>75988</v>
      </c>
      <c r="CN17" s="558"/>
      <c r="CO17" s="558"/>
      <c r="CP17" s="558"/>
      <c r="CQ17" s="558"/>
      <c r="CR17" s="558"/>
      <c r="CS17" s="558"/>
      <c r="CT17" s="558"/>
      <c r="CU17" s="558"/>
      <c r="CV17" s="558"/>
      <c r="CW17" s="558"/>
      <c r="CX17" s="558"/>
      <c r="CY17" s="558"/>
      <c r="CZ17" s="558"/>
      <c r="DA17" s="559"/>
    </row>
    <row r="18" spans="1:109" s="180" customFormat="1" ht="12.75" x14ac:dyDescent="0.2">
      <c r="A18" s="547"/>
      <c r="B18" s="548"/>
      <c r="C18" s="548"/>
      <c r="D18" s="548"/>
      <c r="E18" s="548"/>
      <c r="F18" s="549"/>
      <c r="G18" s="256"/>
      <c r="H18" s="563" t="s">
        <v>532</v>
      </c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  <c r="BH18" s="563"/>
      <c r="BI18" s="563"/>
      <c r="BJ18" s="563"/>
      <c r="BK18" s="563"/>
      <c r="BL18" s="563"/>
      <c r="BM18" s="563"/>
      <c r="BN18" s="563"/>
      <c r="BO18" s="563"/>
      <c r="BP18" s="563"/>
      <c r="BQ18" s="563"/>
      <c r="BR18" s="563"/>
      <c r="BS18" s="563"/>
      <c r="BT18" s="563"/>
      <c r="BU18" s="563"/>
      <c r="BV18" s="564"/>
      <c r="BW18" s="632"/>
      <c r="BX18" s="633"/>
      <c r="BY18" s="633"/>
      <c r="BZ18" s="633"/>
      <c r="CA18" s="633"/>
      <c r="CB18" s="633"/>
      <c r="CC18" s="633"/>
      <c r="CD18" s="633"/>
      <c r="CE18" s="633"/>
      <c r="CF18" s="633"/>
      <c r="CG18" s="633"/>
      <c r="CH18" s="633"/>
      <c r="CI18" s="633"/>
      <c r="CJ18" s="633"/>
      <c r="CK18" s="633"/>
      <c r="CL18" s="634"/>
      <c r="CM18" s="560"/>
      <c r="CN18" s="561"/>
      <c r="CO18" s="561"/>
      <c r="CP18" s="561"/>
      <c r="CQ18" s="561"/>
      <c r="CR18" s="561"/>
      <c r="CS18" s="561"/>
      <c r="CT18" s="561"/>
      <c r="CU18" s="561"/>
      <c r="CV18" s="561"/>
      <c r="CW18" s="561"/>
      <c r="CX18" s="561"/>
      <c r="CY18" s="561"/>
      <c r="CZ18" s="561"/>
      <c r="DA18" s="562"/>
      <c r="DE18" s="180">
        <v>211</v>
      </c>
    </row>
    <row r="19" spans="1:109" s="180" customFormat="1" ht="13.5" customHeight="1" x14ac:dyDescent="0.2">
      <c r="A19" s="508" t="s">
        <v>533</v>
      </c>
      <c r="B19" s="508"/>
      <c r="C19" s="508"/>
      <c r="D19" s="508"/>
      <c r="E19" s="508"/>
      <c r="F19" s="508"/>
      <c r="G19" s="254"/>
      <c r="H19" s="542" t="s">
        <v>534</v>
      </c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  <c r="AQ19" s="542"/>
      <c r="AR19" s="542"/>
      <c r="AS19" s="542"/>
      <c r="AT19" s="542"/>
      <c r="AU19" s="542"/>
      <c r="AV19" s="542"/>
      <c r="AW19" s="542"/>
      <c r="AX19" s="542"/>
      <c r="AY19" s="542"/>
      <c r="AZ19" s="542"/>
      <c r="BA19" s="542"/>
      <c r="BB19" s="542"/>
      <c r="BC19" s="542"/>
      <c r="BD19" s="542"/>
      <c r="BE19" s="542"/>
      <c r="BF19" s="542"/>
      <c r="BG19" s="542"/>
      <c r="BH19" s="542"/>
      <c r="BI19" s="542"/>
      <c r="BJ19" s="542"/>
      <c r="BK19" s="542"/>
      <c r="BL19" s="542"/>
      <c r="BM19" s="542"/>
      <c r="BN19" s="542"/>
      <c r="BO19" s="542"/>
      <c r="BP19" s="542"/>
      <c r="BQ19" s="542"/>
      <c r="BR19" s="542"/>
      <c r="BS19" s="542"/>
      <c r="BT19" s="542"/>
      <c r="BU19" s="542"/>
      <c r="BV19" s="543"/>
      <c r="BW19" s="510"/>
      <c r="BX19" s="510"/>
      <c r="BY19" s="510"/>
      <c r="BZ19" s="510"/>
      <c r="CA19" s="510"/>
      <c r="CB19" s="510"/>
      <c r="CC19" s="510"/>
      <c r="CD19" s="510"/>
      <c r="CE19" s="510"/>
      <c r="CF19" s="510"/>
      <c r="CG19" s="510"/>
      <c r="CH19" s="510"/>
      <c r="CI19" s="510"/>
      <c r="CJ19" s="510"/>
      <c r="CK19" s="510"/>
      <c r="CL19" s="510"/>
      <c r="CM19" s="510"/>
      <c r="CN19" s="510"/>
      <c r="CO19" s="510"/>
      <c r="CP19" s="510"/>
      <c r="CQ19" s="510"/>
      <c r="CR19" s="510"/>
      <c r="CS19" s="510"/>
      <c r="CT19" s="510"/>
      <c r="CU19" s="510"/>
      <c r="CV19" s="510"/>
      <c r="CW19" s="510"/>
      <c r="CX19" s="510"/>
      <c r="CY19" s="510"/>
      <c r="CZ19" s="510"/>
      <c r="DA19" s="510"/>
    </row>
    <row r="20" spans="1:109" s="180" customFormat="1" ht="26.25" customHeight="1" x14ac:dyDescent="0.2">
      <c r="A20" s="508" t="s">
        <v>535</v>
      </c>
      <c r="B20" s="508"/>
      <c r="C20" s="508"/>
      <c r="D20" s="508"/>
      <c r="E20" s="508"/>
      <c r="F20" s="508"/>
      <c r="G20" s="254"/>
      <c r="H20" s="542" t="s">
        <v>536</v>
      </c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542"/>
      <c r="AM20" s="542"/>
      <c r="AN20" s="542"/>
      <c r="AO20" s="542"/>
      <c r="AP20" s="542"/>
      <c r="AQ20" s="542"/>
      <c r="AR20" s="542"/>
      <c r="AS20" s="542"/>
      <c r="AT20" s="542"/>
      <c r="AU20" s="542"/>
      <c r="AV20" s="542"/>
      <c r="AW20" s="542"/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3"/>
      <c r="BW20" s="510"/>
      <c r="BX20" s="510"/>
      <c r="BY20" s="510"/>
      <c r="BZ20" s="510"/>
      <c r="CA20" s="510"/>
      <c r="CB20" s="510"/>
      <c r="CC20" s="510"/>
      <c r="CD20" s="510"/>
      <c r="CE20" s="510"/>
      <c r="CF20" s="510"/>
      <c r="CG20" s="510"/>
      <c r="CH20" s="510"/>
      <c r="CI20" s="510"/>
      <c r="CJ20" s="510"/>
      <c r="CK20" s="510"/>
      <c r="CL20" s="510"/>
      <c r="CM20" s="510"/>
      <c r="CN20" s="510"/>
      <c r="CO20" s="510"/>
      <c r="CP20" s="510"/>
      <c r="CQ20" s="510"/>
      <c r="CR20" s="510"/>
      <c r="CS20" s="510"/>
      <c r="CT20" s="510"/>
      <c r="CU20" s="510"/>
      <c r="CV20" s="510"/>
      <c r="CW20" s="510"/>
      <c r="CX20" s="510"/>
      <c r="CY20" s="510"/>
      <c r="CZ20" s="510"/>
      <c r="DA20" s="510"/>
    </row>
    <row r="21" spans="1:109" s="180" customFormat="1" ht="26.25" customHeight="1" x14ac:dyDescent="0.2">
      <c r="A21" s="508" t="s">
        <v>515</v>
      </c>
      <c r="B21" s="508"/>
      <c r="C21" s="508"/>
      <c r="D21" s="508"/>
      <c r="E21" s="508"/>
      <c r="F21" s="508"/>
      <c r="G21" s="254"/>
      <c r="H21" s="524" t="s">
        <v>537</v>
      </c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524"/>
      <c r="AZ21" s="524"/>
      <c r="BA21" s="524"/>
      <c r="BB21" s="524"/>
      <c r="BC21" s="524"/>
      <c r="BD21" s="524"/>
      <c r="BE21" s="524"/>
      <c r="BF21" s="524"/>
      <c r="BG21" s="524"/>
      <c r="BH21" s="524"/>
      <c r="BI21" s="524"/>
      <c r="BJ21" s="524"/>
      <c r="BK21" s="524"/>
      <c r="BL21" s="524"/>
      <c r="BM21" s="524"/>
      <c r="BN21" s="524"/>
      <c r="BO21" s="524"/>
      <c r="BP21" s="524"/>
      <c r="BQ21" s="524"/>
      <c r="BR21" s="524"/>
      <c r="BS21" s="524"/>
      <c r="BT21" s="524"/>
      <c r="BU21" s="524"/>
      <c r="BV21" s="525"/>
      <c r="BW21" s="510" t="s">
        <v>494</v>
      </c>
      <c r="BX21" s="510"/>
      <c r="BY21" s="510"/>
      <c r="BZ21" s="510"/>
      <c r="CA21" s="510"/>
      <c r="CB21" s="510"/>
      <c r="CC21" s="510"/>
      <c r="CD21" s="510"/>
      <c r="CE21" s="510"/>
      <c r="CF21" s="510"/>
      <c r="CG21" s="510"/>
      <c r="CH21" s="510"/>
      <c r="CI21" s="510"/>
      <c r="CJ21" s="510"/>
      <c r="CK21" s="510"/>
      <c r="CL21" s="510"/>
      <c r="CM21" s="510"/>
      <c r="CN21" s="510"/>
      <c r="CO21" s="510"/>
      <c r="CP21" s="510"/>
      <c r="CQ21" s="510"/>
      <c r="CR21" s="510"/>
      <c r="CS21" s="510"/>
      <c r="CT21" s="510"/>
      <c r="CU21" s="510"/>
      <c r="CV21" s="510"/>
      <c r="CW21" s="510"/>
      <c r="CX21" s="510"/>
      <c r="CY21" s="510"/>
      <c r="CZ21" s="510"/>
      <c r="DA21" s="510"/>
    </row>
    <row r="22" spans="1:109" s="180" customFormat="1" ht="12.75" x14ac:dyDescent="0.2">
      <c r="A22" s="544" t="s">
        <v>538</v>
      </c>
      <c r="B22" s="545"/>
      <c r="C22" s="545"/>
      <c r="D22" s="545"/>
      <c r="E22" s="545"/>
      <c r="F22" s="546"/>
      <c r="G22" s="255"/>
      <c r="H22" s="550" t="s">
        <v>237</v>
      </c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550"/>
      <c r="AP22" s="550"/>
      <c r="AQ22" s="550"/>
      <c r="AR22" s="550"/>
      <c r="AS22" s="550"/>
      <c r="AT22" s="550"/>
      <c r="AU22" s="550"/>
      <c r="AV22" s="550"/>
      <c r="AW22" s="550"/>
      <c r="AX22" s="550"/>
      <c r="AY22" s="550"/>
      <c r="AZ22" s="550"/>
      <c r="BA22" s="550"/>
      <c r="BB22" s="550"/>
      <c r="BC22" s="550"/>
      <c r="BD22" s="550"/>
      <c r="BE22" s="550"/>
      <c r="BF22" s="550"/>
      <c r="BG22" s="550"/>
      <c r="BH22" s="550"/>
      <c r="BI22" s="550"/>
      <c r="BJ22" s="550"/>
      <c r="BK22" s="550"/>
      <c r="BL22" s="550"/>
      <c r="BM22" s="550"/>
      <c r="BN22" s="550"/>
      <c r="BO22" s="550"/>
      <c r="BP22" s="550"/>
      <c r="BQ22" s="550"/>
      <c r="BR22" s="550"/>
      <c r="BS22" s="550"/>
      <c r="BT22" s="550"/>
      <c r="BU22" s="550"/>
      <c r="BV22" s="551"/>
      <c r="BW22" s="552">
        <f>BW17</f>
        <v>345400</v>
      </c>
      <c r="BX22" s="553"/>
      <c r="BY22" s="553"/>
      <c r="BZ22" s="553"/>
      <c r="CA22" s="553"/>
      <c r="CB22" s="553"/>
      <c r="CC22" s="553"/>
      <c r="CD22" s="553"/>
      <c r="CE22" s="553"/>
      <c r="CF22" s="553"/>
      <c r="CG22" s="553"/>
      <c r="CH22" s="553"/>
      <c r="CI22" s="553"/>
      <c r="CJ22" s="553"/>
      <c r="CK22" s="553"/>
      <c r="CL22" s="554"/>
      <c r="CM22" s="552">
        <f>BW22*2.9%</f>
        <v>10016.599999999999</v>
      </c>
      <c r="CN22" s="558"/>
      <c r="CO22" s="558"/>
      <c r="CP22" s="558"/>
      <c r="CQ22" s="558"/>
      <c r="CR22" s="558"/>
      <c r="CS22" s="558"/>
      <c r="CT22" s="558"/>
      <c r="CU22" s="558"/>
      <c r="CV22" s="558"/>
      <c r="CW22" s="558"/>
      <c r="CX22" s="558"/>
      <c r="CY22" s="558"/>
      <c r="CZ22" s="558"/>
      <c r="DA22" s="559"/>
    </row>
    <row r="23" spans="1:109" s="180" customFormat="1" ht="25.5" customHeight="1" x14ac:dyDescent="0.2">
      <c r="A23" s="547"/>
      <c r="B23" s="548"/>
      <c r="C23" s="548"/>
      <c r="D23" s="548"/>
      <c r="E23" s="548"/>
      <c r="F23" s="549"/>
      <c r="G23" s="256"/>
      <c r="H23" s="563" t="s">
        <v>539</v>
      </c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  <c r="BG23" s="563"/>
      <c r="BH23" s="563"/>
      <c r="BI23" s="563"/>
      <c r="BJ23" s="563"/>
      <c r="BK23" s="563"/>
      <c r="BL23" s="563"/>
      <c r="BM23" s="563"/>
      <c r="BN23" s="563"/>
      <c r="BO23" s="563"/>
      <c r="BP23" s="563"/>
      <c r="BQ23" s="563"/>
      <c r="BR23" s="563"/>
      <c r="BS23" s="563"/>
      <c r="BT23" s="563"/>
      <c r="BU23" s="563"/>
      <c r="BV23" s="564"/>
      <c r="BW23" s="555"/>
      <c r="BX23" s="556"/>
      <c r="BY23" s="556"/>
      <c r="BZ23" s="556"/>
      <c r="CA23" s="556"/>
      <c r="CB23" s="556"/>
      <c r="CC23" s="556"/>
      <c r="CD23" s="556"/>
      <c r="CE23" s="556"/>
      <c r="CF23" s="556"/>
      <c r="CG23" s="556"/>
      <c r="CH23" s="556"/>
      <c r="CI23" s="556"/>
      <c r="CJ23" s="556"/>
      <c r="CK23" s="556"/>
      <c r="CL23" s="557"/>
      <c r="CM23" s="560"/>
      <c r="CN23" s="561"/>
      <c r="CO23" s="561"/>
      <c r="CP23" s="561"/>
      <c r="CQ23" s="561"/>
      <c r="CR23" s="561"/>
      <c r="CS23" s="561"/>
      <c r="CT23" s="561"/>
      <c r="CU23" s="561"/>
      <c r="CV23" s="561"/>
      <c r="CW23" s="561"/>
      <c r="CX23" s="561"/>
      <c r="CY23" s="561"/>
      <c r="CZ23" s="561"/>
      <c r="DA23" s="562"/>
    </row>
    <row r="24" spans="1:109" s="180" customFormat="1" ht="26.25" customHeight="1" x14ac:dyDescent="0.2">
      <c r="A24" s="508" t="s">
        <v>540</v>
      </c>
      <c r="B24" s="508"/>
      <c r="C24" s="508"/>
      <c r="D24" s="508"/>
      <c r="E24" s="508"/>
      <c r="F24" s="508"/>
      <c r="G24" s="254"/>
      <c r="H24" s="542" t="s">
        <v>541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2"/>
      <c r="AM24" s="542"/>
      <c r="AN24" s="542"/>
      <c r="AO24" s="542"/>
      <c r="AP24" s="542"/>
      <c r="AQ24" s="542"/>
      <c r="AR24" s="542"/>
      <c r="AS24" s="542"/>
      <c r="AT24" s="542"/>
      <c r="AU24" s="542"/>
      <c r="AV24" s="542"/>
      <c r="AW24" s="542"/>
      <c r="AX24" s="542"/>
      <c r="AY24" s="542"/>
      <c r="AZ24" s="542"/>
      <c r="BA24" s="542"/>
      <c r="BB24" s="542"/>
      <c r="BC24" s="542"/>
      <c r="BD24" s="542"/>
      <c r="BE24" s="542"/>
      <c r="BF24" s="542"/>
      <c r="BG24" s="542"/>
      <c r="BH24" s="542"/>
      <c r="BI24" s="542"/>
      <c r="BJ24" s="542"/>
      <c r="BK24" s="542"/>
      <c r="BL24" s="542"/>
      <c r="BM24" s="542"/>
      <c r="BN24" s="542"/>
      <c r="BO24" s="542"/>
      <c r="BP24" s="542"/>
      <c r="BQ24" s="542"/>
      <c r="BR24" s="542"/>
      <c r="BS24" s="542"/>
      <c r="BT24" s="542"/>
      <c r="BU24" s="542"/>
      <c r="BV24" s="543"/>
      <c r="BW24" s="510"/>
      <c r="BX24" s="510"/>
      <c r="BY24" s="510"/>
      <c r="BZ24" s="510"/>
      <c r="CA24" s="510"/>
      <c r="CB24" s="510"/>
      <c r="CC24" s="510"/>
      <c r="CD24" s="510"/>
      <c r="CE24" s="510"/>
      <c r="CF24" s="510"/>
      <c r="CG24" s="510"/>
      <c r="CH24" s="510"/>
      <c r="CI24" s="510"/>
      <c r="CJ24" s="510"/>
      <c r="CK24" s="510"/>
      <c r="CL24" s="510"/>
      <c r="CM24" s="510"/>
      <c r="CN24" s="510"/>
      <c r="CO24" s="510"/>
      <c r="CP24" s="510"/>
      <c r="CQ24" s="510"/>
      <c r="CR24" s="510"/>
      <c r="CS24" s="510"/>
      <c r="CT24" s="510"/>
      <c r="CU24" s="510"/>
      <c r="CV24" s="510"/>
      <c r="CW24" s="510"/>
      <c r="CX24" s="510"/>
      <c r="CY24" s="510"/>
      <c r="CZ24" s="510"/>
      <c r="DA24" s="510"/>
    </row>
    <row r="25" spans="1:109" s="180" customFormat="1" ht="27" customHeight="1" x14ac:dyDescent="0.2">
      <c r="A25" s="508" t="s">
        <v>542</v>
      </c>
      <c r="B25" s="508"/>
      <c r="C25" s="508"/>
      <c r="D25" s="508"/>
      <c r="E25" s="508"/>
      <c r="F25" s="508"/>
      <c r="G25" s="254"/>
      <c r="H25" s="542" t="s">
        <v>543</v>
      </c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2"/>
      <c r="AQ25" s="542"/>
      <c r="AR25" s="542"/>
      <c r="AS25" s="542"/>
      <c r="AT25" s="542"/>
      <c r="AU25" s="542"/>
      <c r="AV25" s="542"/>
      <c r="AW25" s="542"/>
      <c r="AX25" s="542"/>
      <c r="AY25" s="542"/>
      <c r="AZ25" s="542"/>
      <c r="BA25" s="542"/>
      <c r="BB25" s="542"/>
      <c r="BC25" s="542"/>
      <c r="BD25" s="542"/>
      <c r="BE25" s="542"/>
      <c r="BF25" s="542"/>
      <c r="BG25" s="542"/>
      <c r="BH25" s="542"/>
      <c r="BI25" s="542"/>
      <c r="BJ25" s="542"/>
      <c r="BK25" s="542"/>
      <c r="BL25" s="542"/>
      <c r="BM25" s="542"/>
      <c r="BN25" s="542"/>
      <c r="BO25" s="542"/>
      <c r="BP25" s="542"/>
      <c r="BQ25" s="542"/>
      <c r="BR25" s="542"/>
      <c r="BS25" s="542"/>
      <c r="BT25" s="542"/>
      <c r="BU25" s="542"/>
      <c r="BV25" s="543"/>
      <c r="BW25" s="511">
        <f>BW17</f>
        <v>345400</v>
      </c>
      <c r="BX25" s="510"/>
      <c r="BY25" s="510"/>
      <c r="BZ25" s="510"/>
      <c r="CA25" s="510"/>
      <c r="CB25" s="510"/>
      <c r="CC25" s="510"/>
      <c r="CD25" s="510"/>
      <c r="CE25" s="510"/>
      <c r="CF25" s="510"/>
      <c r="CG25" s="510"/>
      <c r="CH25" s="510"/>
      <c r="CI25" s="510"/>
      <c r="CJ25" s="510"/>
      <c r="CK25" s="510"/>
      <c r="CL25" s="510"/>
      <c r="CM25" s="511">
        <f>BW25*0.2%</f>
        <v>690.80000000000007</v>
      </c>
      <c r="CN25" s="511"/>
      <c r="CO25" s="511"/>
      <c r="CP25" s="511"/>
      <c r="CQ25" s="511"/>
      <c r="CR25" s="511"/>
      <c r="CS25" s="511"/>
      <c r="CT25" s="511"/>
      <c r="CU25" s="511"/>
      <c r="CV25" s="511"/>
      <c r="CW25" s="511"/>
      <c r="CX25" s="511"/>
      <c r="CY25" s="511"/>
      <c r="CZ25" s="511"/>
      <c r="DA25" s="511"/>
    </row>
    <row r="26" spans="1:109" s="180" customFormat="1" ht="27" customHeight="1" x14ac:dyDescent="0.2">
      <c r="A26" s="508" t="s">
        <v>544</v>
      </c>
      <c r="B26" s="508"/>
      <c r="C26" s="508"/>
      <c r="D26" s="508"/>
      <c r="E26" s="508"/>
      <c r="F26" s="508"/>
      <c r="G26" s="254"/>
      <c r="H26" s="542" t="s">
        <v>545</v>
      </c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542"/>
      <c r="AW26" s="542"/>
      <c r="AX26" s="542"/>
      <c r="AY26" s="542"/>
      <c r="AZ26" s="542"/>
      <c r="BA26" s="542"/>
      <c r="BB26" s="542"/>
      <c r="BC26" s="542"/>
      <c r="BD26" s="542"/>
      <c r="BE26" s="542"/>
      <c r="BF26" s="542"/>
      <c r="BG26" s="542"/>
      <c r="BH26" s="542"/>
      <c r="BI26" s="542"/>
      <c r="BJ26" s="542"/>
      <c r="BK26" s="542"/>
      <c r="BL26" s="542"/>
      <c r="BM26" s="542"/>
      <c r="BN26" s="542"/>
      <c r="BO26" s="542"/>
      <c r="BP26" s="542"/>
      <c r="BQ26" s="542"/>
      <c r="BR26" s="542"/>
      <c r="BS26" s="542"/>
      <c r="BT26" s="542"/>
      <c r="BU26" s="542"/>
      <c r="BV26" s="543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0"/>
      <c r="CM26" s="510"/>
      <c r="CN26" s="510"/>
      <c r="CO26" s="510"/>
      <c r="CP26" s="510"/>
      <c r="CQ26" s="510"/>
      <c r="CR26" s="510"/>
      <c r="CS26" s="510"/>
      <c r="CT26" s="510"/>
      <c r="CU26" s="510"/>
      <c r="CV26" s="510"/>
      <c r="CW26" s="510"/>
      <c r="CX26" s="510"/>
      <c r="CY26" s="510"/>
      <c r="CZ26" s="510"/>
      <c r="DA26" s="510"/>
    </row>
    <row r="27" spans="1:109" s="180" customFormat="1" ht="27" customHeight="1" x14ac:dyDescent="0.2">
      <c r="A27" s="508" t="s">
        <v>546</v>
      </c>
      <c r="B27" s="508"/>
      <c r="C27" s="508"/>
      <c r="D27" s="508"/>
      <c r="E27" s="508"/>
      <c r="F27" s="508"/>
      <c r="G27" s="254"/>
      <c r="H27" s="542" t="s">
        <v>545</v>
      </c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  <c r="AY27" s="542"/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542"/>
      <c r="BM27" s="542"/>
      <c r="BN27" s="542"/>
      <c r="BO27" s="542"/>
      <c r="BP27" s="542"/>
      <c r="BQ27" s="542"/>
      <c r="BR27" s="542"/>
      <c r="BS27" s="542"/>
      <c r="BT27" s="542"/>
      <c r="BU27" s="542"/>
      <c r="BV27" s="543"/>
      <c r="BW27" s="510"/>
      <c r="BX27" s="510"/>
      <c r="BY27" s="510"/>
      <c r="BZ27" s="510"/>
      <c r="CA27" s="510"/>
      <c r="CB27" s="510"/>
      <c r="CC27" s="510"/>
      <c r="CD27" s="510"/>
      <c r="CE27" s="510"/>
      <c r="CF27" s="510"/>
      <c r="CG27" s="510"/>
      <c r="CH27" s="510"/>
      <c r="CI27" s="510"/>
      <c r="CJ27" s="510"/>
      <c r="CK27" s="510"/>
      <c r="CL27" s="510"/>
      <c r="CM27" s="510"/>
      <c r="CN27" s="510"/>
      <c r="CO27" s="510"/>
      <c r="CP27" s="510"/>
      <c r="CQ27" s="510"/>
      <c r="CR27" s="510"/>
      <c r="CS27" s="510"/>
      <c r="CT27" s="510"/>
      <c r="CU27" s="510"/>
      <c r="CV27" s="510"/>
      <c r="CW27" s="510"/>
      <c r="CX27" s="510"/>
      <c r="CY27" s="510"/>
      <c r="CZ27" s="510"/>
      <c r="DA27" s="510"/>
    </row>
    <row r="28" spans="1:109" s="180" customFormat="1" ht="26.25" customHeight="1" x14ac:dyDescent="0.2">
      <c r="A28" s="508" t="s">
        <v>517</v>
      </c>
      <c r="B28" s="508"/>
      <c r="C28" s="508"/>
      <c r="D28" s="508"/>
      <c r="E28" s="508"/>
      <c r="F28" s="508"/>
      <c r="G28" s="254"/>
      <c r="H28" s="524" t="s">
        <v>547</v>
      </c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4"/>
      <c r="AI28" s="524"/>
      <c r="AJ28" s="524"/>
      <c r="AK28" s="524"/>
      <c r="AL28" s="524"/>
      <c r="AM28" s="524"/>
      <c r="AN28" s="524"/>
      <c r="AO28" s="524"/>
      <c r="AP28" s="524"/>
      <c r="AQ28" s="524"/>
      <c r="AR28" s="524"/>
      <c r="AS28" s="524"/>
      <c r="AT28" s="524"/>
      <c r="AU28" s="524"/>
      <c r="AV28" s="524"/>
      <c r="AW28" s="524"/>
      <c r="AX28" s="524"/>
      <c r="AY28" s="524"/>
      <c r="AZ28" s="524"/>
      <c r="BA28" s="524"/>
      <c r="BB28" s="524"/>
      <c r="BC28" s="524"/>
      <c r="BD28" s="524"/>
      <c r="BE28" s="524"/>
      <c r="BF28" s="524"/>
      <c r="BG28" s="524"/>
      <c r="BH28" s="524"/>
      <c r="BI28" s="524"/>
      <c r="BJ28" s="524"/>
      <c r="BK28" s="524"/>
      <c r="BL28" s="524"/>
      <c r="BM28" s="524"/>
      <c r="BN28" s="524"/>
      <c r="BO28" s="524"/>
      <c r="BP28" s="524"/>
      <c r="BQ28" s="524"/>
      <c r="BR28" s="524"/>
      <c r="BS28" s="524"/>
      <c r="BT28" s="524"/>
      <c r="BU28" s="524"/>
      <c r="BV28" s="525"/>
      <c r="BW28" s="511">
        <f>BW17</f>
        <v>345400</v>
      </c>
      <c r="BX28" s="510"/>
      <c r="BY28" s="510"/>
      <c r="BZ28" s="510"/>
      <c r="CA28" s="510"/>
      <c r="CB28" s="510"/>
      <c r="CC28" s="510"/>
      <c r="CD28" s="510"/>
      <c r="CE28" s="510"/>
      <c r="CF28" s="510"/>
      <c r="CG28" s="510"/>
      <c r="CH28" s="510"/>
      <c r="CI28" s="510"/>
      <c r="CJ28" s="510"/>
      <c r="CK28" s="510"/>
      <c r="CL28" s="510"/>
      <c r="CM28" s="511">
        <f>BW28*5.1%</f>
        <v>17615.399999999998</v>
      </c>
      <c r="CN28" s="511"/>
      <c r="CO28" s="511"/>
      <c r="CP28" s="511"/>
      <c r="CQ28" s="511"/>
      <c r="CR28" s="511"/>
      <c r="CS28" s="511"/>
      <c r="CT28" s="511"/>
      <c r="CU28" s="511"/>
      <c r="CV28" s="511"/>
      <c r="CW28" s="511"/>
      <c r="CX28" s="511"/>
      <c r="CY28" s="511"/>
      <c r="CZ28" s="511"/>
      <c r="DA28" s="511"/>
    </row>
    <row r="29" spans="1:109" s="180" customFormat="1" ht="13.5" customHeight="1" x14ac:dyDescent="0.2">
      <c r="A29" s="508"/>
      <c r="B29" s="508"/>
      <c r="C29" s="508"/>
      <c r="D29" s="508"/>
      <c r="E29" s="508"/>
      <c r="F29" s="508"/>
      <c r="G29" s="539" t="s">
        <v>521</v>
      </c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2"/>
      <c r="AN29" s="512"/>
      <c r="AO29" s="512"/>
      <c r="AP29" s="512"/>
      <c r="AQ29" s="512"/>
      <c r="AR29" s="512"/>
      <c r="AS29" s="512"/>
      <c r="AT29" s="512"/>
      <c r="AU29" s="512"/>
      <c r="AV29" s="512"/>
      <c r="AW29" s="512"/>
      <c r="AX29" s="512"/>
      <c r="AY29" s="512"/>
      <c r="AZ29" s="512"/>
      <c r="BA29" s="512"/>
      <c r="BB29" s="512"/>
      <c r="BC29" s="512"/>
      <c r="BD29" s="512"/>
      <c r="BE29" s="512"/>
      <c r="BF29" s="512"/>
      <c r="BG29" s="512"/>
      <c r="BH29" s="512"/>
      <c r="BI29" s="512"/>
      <c r="BJ29" s="512"/>
      <c r="BK29" s="512"/>
      <c r="BL29" s="512"/>
      <c r="BM29" s="512"/>
      <c r="BN29" s="512"/>
      <c r="BO29" s="512"/>
      <c r="BP29" s="512"/>
      <c r="BQ29" s="512"/>
      <c r="BR29" s="512"/>
      <c r="BS29" s="512"/>
      <c r="BT29" s="512"/>
      <c r="BU29" s="512"/>
      <c r="BV29" s="513"/>
      <c r="BW29" s="510" t="s">
        <v>494</v>
      </c>
      <c r="BX29" s="510"/>
      <c r="BY29" s="510"/>
      <c r="BZ29" s="510"/>
      <c r="CA29" s="510"/>
      <c r="CB29" s="510"/>
      <c r="CC29" s="510"/>
      <c r="CD29" s="510"/>
      <c r="CE29" s="510"/>
      <c r="CF29" s="510"/>
      <c r="CG29" s="510"/>
      <c r="CH29" s="510"/>
      <c r="CI29" s="510"/>
      <c r="CJ29" s="510"/>
      <c r="CK29" s="510"/>
      <c r="CL29" s="510"/>
      <c r="CM29" s="514">
        <f>SUM(CM17:DA28)-10.8</f>
        <v>104300</v>
      </c>
      <c r="CN29" s="526"/>
      <c r="CO29" s="526"/>
      <c r="CP29" s="526"/>
      <c r="CQ29" s="526"/>
      <c r="CR29" s="526"/>
      <c r="CS29" s="526"/>
      <c r="CT29" s="526"/>
      <c r="CU29" s="526"/>
      <c r="CV29" s="526"/>
      <c r="CW29" s="526"/>
      <c r="CX29" s="526"/>
      <c r="CY29" s="526"/>
      <c r="CZ29" s="526"/>
      <c r="DA29" s="526"/>
      <c r="DE29" s="180">
        <v>213</v>
      </c>
    </row>
    <row r="30" spans="1:109" ht="3" customHeight="1" x14ac:dyDescent="0.25"/>
    <row r="31" spans="1:109" s="248" customFormat="1" ht="28.5" customHeight="1" x14ac:dyDescent="0.2">
      <c r="A31" s="637" t="s">
        <v>608</v>
      </c>
      <c r="B31" s="637"/>
      <c r="C31" s="637"/>
      <c r="D31" s="637"/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  <c r="Y31" s="637"/>
      <c r="Z31" s="637"/>
      <c r="AA31" s="637"/>
      <c r="AB31" s="637"/>
      <c r="AC31" s="637"/>
      <c r="AD31" s="637"/>
      <c r="AE31" s="637"/>
      <c r="AF31" s="637"/>
      <c r="AG31" s="637"/>
      <c r="AH31" s="637"/>
      <c r="AI31" s="637"/>
      <c r="AJ31" s="637"/>
      <c r="AK31" s="637"/>
      <c r="AL31" s="637"/>
      <c r="AM31" s="637"/>
      <c r="AN31" s="637"/>
      <c r="AO31" s="637"/>
      <c r="AP31" s="637"/>
      <c r="AQ31" s="637"/>
      <c r="AR31" s="637"/>
      <c r="AS31" s="637"/>
      <c r="AT31" s="637"/>
      <c r="AU31" s="637"/>
      <c r="AV31" s="637"/>
      <c r="AW31" s="637"/>
      <c r="AX31" s="637"/>
      <c r="AY31" s="637"/>
      <c r="AZ31" s="637"/>
      <c r="BA31" s="637"/>
      <c r="BB31" s="637"/>
      <c r="BC31" s="637"/>
      <c r="BD31" s="637"/>
      <c r="BE31" s="637"/>
      <c r="BF31" s="637"/>
      <c r="BG31" s="637"/>
      <c r="BH31" s="637"/>
      <c r="BI31" s="637"/>
      <c r="BJ31" s="637"/>
      <c r="BK31" s="637"/>
      <c r="BL31" s="637"/>
      <c r="BM31" s="637"/>
      <c r="BN31" s="637"/>
      <c r="BO31" s="637"/>
      <c r="BP31" s="637"/>
      <c r="BQ31" s="637"/>
      <c r="BR31" s="637"/>
      <c r="BS31" s="637"/>
      <c r="BT31" s="637"/>
      <c r="BU31" s="637"/>
      <c r="BV31" s="637"/>
      <c r="BW31" s="637"/>
      <c r="BX31" s="637"/>
      <c r="BY31" s="637"/>
      <c r="BZ31" s="637"/>
      <c r="CA31" s="637"/>
      <c r="CB31" s="637"/>
      <c r="CC31" s="637"/>
      <c r="CD31" s="637"/>
      <c r="CE31" s="637"/>
      <c r="CF31" s="637"/>
      <c r="CG31" s="637"/>
      <c r="CH31" s="637"/>
      <c r="CI31" s="637"/>
      <c r="CJ31" s="637"/>
      <c r="CK31" s="637"/>
      <c r="CL31" s="637"/>
      <c r="CM31" s="637"/>
      <c r="CN31" s="637"/>
      <c r="CO31" s="637"/>
      <c r="CP31" s="637"/>
      <c r="CQ31" s="637"/>
      <c r="CR31" s="637"/>
      <c r="CS31" s="637"/>
      <c r="CT31" s="637"/>
      <c r="CU31" s="637"/>
      <c r="CV31" s="637"/>
      <c r="CW31" s="637"/>
      <c r="CX31" s="637"/>
      <c r="CY31" s="637"/>
      <c r="CZ31" s="637"/>
      <c r="DA31" s="637"/>
      <c r="DE31" s="96" t="s">
        <v>605</v>
      </c>
    </row>
    <row r="32" spans="1:109" ht="10.5" customHeight="1" x14ac:dyDescent="0.25"/>
    <row r="33" spans="1:109" s="251" customFormat="1" ht="30" customHeight="1" x14ac:dyDescent="0.25">
      <c r="A33" s="520" t="s">
        <v>176</v>
      </c>
      <c r="B33" s="521"/>
      <c r="C33" s="521"/>
      <c r="D33" s="521"/>
      <c r="E33" s="521"/>
      <c r="F33" s="521"/>
      <c r="G33" s="522"/>
      <c r="H33" s="520" t="s">
        <v>549</v>
      </c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  <c r="AF33" s="521"/>
      <c r="AG33" s="521"/>
      <c r="AH33" s="521"/>
      <c r="AI33" s="521"/>
      <c r="AJ33" s="521"/>
      <c r="AK33" s="521"/>
      <c r="AL33" s="521"/>
      <c r="AM33" s="521"/>
      <c r="AN33" s="521"/>
      <c r="AO33" s="521"/>
      <c r="AP33" s="521"/>
      <c r="AQ33" s="521"/>
      <c r="AR33" s="521"/>
      <c r="AS33" s="521"/>
      <c r="AT33" s="521"/>
      <c r="AU33" s="521"/>
      <c r="AV33" s="521"/>
      <c r="AW33" s="521"/>
      <c r="AX33" s="521"/>
      <c r="AY33" s="521"/>
      <c r="AZ33" s="521"/>
      <c r="BA33" s="521"/>
      <c r="BB33" s="521"/>
      <c r="BC33" s="522"/>
      <c r="BD33" s="520" t="s">
        <v>2</v>
      </c>
      <c r="BE33" s="521"/>
      <c r="BF33" s="521"/>
      <c r="BG33" s="521"/>
      <c r="BH33" s="521"/>
      <c r="BI33" s="521"/>
      <c r="BJ33" s="521"/>
      <c r="BK33" s="521"/>
      <c r="BL33" s="521"/>
      <c r="BM33" s="521"/>
      <c r="BN33" s="521"/>
      <c r="BO33" s="521"/>
      <c r="BP33" s="521"/>
      <c r="BQ33" s="521"/>
      <c r="BR33" s="521"/>
      <c r="BS33" s="522"/>
      <c r="BT33" s="520" t="s">
        <v>586</v>
      </c>
      <c r="BU33" s="521"/>
      <c r="BV33" s="521"/>
      <c r="BW33" s="521"/>
      <c r="BX33" s="521"/>
      <c r="BY33" s="521"/>
      <c r="BZ33" s="521"/>
      <c r="CA33" s="521"/>
      <c r="CB33" s="521"/>
      <c r="CC33" s="521"/>
      <c r="CD33" s="521"/>
      <c r="CE33" s="521"/>
      <c r="CF33" s="521"/>
      <c r="CG33" s="521"/>
      <c r="CH33" s="521"/>
      <c r="CI33" s="522"/>
      <c r="CJ33" s="520" t="s">
        <v>587</v>
      </c>
      <c r="CK33" s="521"/>
      <c r="CL33" s="521"/>
      <c r="CM33" s="521"/>
      <c r="CN33" s="521"/>
      <c r="CO33" s="521"/>
      <c r="CP33" s="521"/>
      <c r="CQ33" s="521"/>
      <c r="CR33" s="521"/>
      <c r="CS33" s="521"/>
      <c r="CT33" s="521"/>
      <c r="CU33" s="521"/>
      <c r="CV33" s="521"/>
      <c r="CW33" s="521"/>
      <c r="CX33" s="521"/>
      <c r="CY33" s="521"/>
      <c r="CZ33" s="521"/>
      <c r="DA33" s="522"/>
    </row>
    <row r="34" spans="1:109" s="187" customFormat="1" ht="12.75" x14ac:dyDescent="0.25">
      <c r="A34" s="515"/>
      <c r="B34" s="515"/>
      <c r="C34" s="515"/>
      <c r="D34" s="515"/>
      <c r="E34" s="515"/>
      <c r="F34" s="515"/>
      <c r="G34" s="515"/>
      <c r="H34" s="515">
        <v>1</v>
      </c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5"/>
      <c r="AR34" s="515"/>
      <c r="AS34" s="515"/>
      <c r="AT34" s="515"/>
      <c r="AU34" s="515"/>
      <c r="AV34" s="515"/>
      <c r="AW34" s="515"/>
      <c r="AX34" s="515"/>
      <c r="AY34" s="515"/>
      <c r="AZ34" s="515"/>
      <c r="BA34" s="515"/>
      <c r="BB34" s="515"/>
      <c r="BC34" s="515"/>
      <c r="BD34" s="515">
        <v>2</v>
      </c>
      <c r="BE34" s="515"/>
      <c r="BF34" s="515"/>
      <c r="BG34" s="515"/>
      <c r="BH34" s="515"/>
      <c r="BI34" s="515"/>
      <c r="BJ34" s="515"/>
      <c r="BK34" s="515"/>
      <c r="BL34" s="515"/>
      <c r="BM34" s="515"/>
      <c r="BN34" s="515"/>
      <c r="BO34" s="515"/>
      <c r="BP34" s="515"/>
      <c r="BQ34" s="515"/>
      <c r="BR34" s="515"/>
      <c r="BS34" s="515"/>
      <c r="BT34" s="515">
        <v>3</v>
      </c>
      <c r="BU34" s="515"/>
      <c r="BV34" s="515"/>
      <c r="BW34" s="515"/>
      <c r="BX34" s="515"/>
      <c r="BY34" s="515"/>
      <c r="BZ34" s="515"/>
      <c r="CA34" s="515"/>
      <c r="CB34" s="515"/>
      <c r="CC34" s="515"/>
      <c r="CD34" s="515"/>
      <c r="CE34" s="515"/>
      <c r="CF34" s="515"/>
      <c r="CG34" s="515"/>
      <c r="CH34" s="515"/>
      <c r="CI34" s="515"/>
      <c r="CJ34" s="515">
        <v>4</v>
      </c>
      <c r="CK34" s="515"/>
      <c r="CL34" s="515"/>
      <c r="CM34" s="515"/>
      <c r="CN34" s="515"/>
      <c r="CO34" s="515"/>
      <c r="CP34" s="515"/>
      <c r="CQ34" s="515"/>
      <c r="CR34" s="515"/>
      <c r="CS34" s="515"/>
      <c r="CT34" s="515"/>
      <c r="CU34" s="515"/>
      <c r="CV34" s="515"/>
      <c r="CW34" s="515"/>
      <c r="CX34" s="515"/>
      <c r="CY34" s="515"/>
      <c r="CZ34" s="515"/>
      <c r="DA34" s="515"/>
    </row>
    <row r="35" spans="1:109" s="250" customFormat="1" ht="28.5" customHeight="1" x14ac:dyDescent="0.25">
      <c r="A35" s="508" t="s">
        <v>609</v>
      </c>
      <c r="B35" s="508"/>
      <c r="C35" s="508"/>
      <c r="D35" s="508"/>
      <c r="E35" s="508"/>
      <c r="F35" s="508"/>
      <c r="G35" s="508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09"/>
      <c r="W35" s="509"/>
      <c r="X35" s="509"/>
      <c r="Y35" s="509"/>
      <c r="Z35" s="509"/>
      <c r="AA35" s="509"/>
      <c r="AB35" s="509"/>
      <c r="AC35" s="509"/>
      <c r="AD35" s="509"/>
      <c r="AE35" s="509"/>
      <c r="AF35" s="509"/>
      <c r="AG35" s="509"/>
      <c r="AH35" s="509"/>
      <c r="AI35" s="509"/>
      <c r="AJ35" s="509"/>
      <c r="AK35" s="509"/>
      <c r="AL35" s="509"/>
      <c r="AM35" s="509"/>
      <c r="AN35" s="509"/>
      <c r="AO35" s="509"/>
      <c r="AP35" s="509"/>
      <c r="AQ35" s="509"/>
      <c r="AR35" s="509"/>
      <c r="AS35" s="509"/>
      <c r="AT35" s="509"/>
      <c r="AU35" s="509"/>
      <c r="AV35" s="509"/>
      <c r="AW35" s="509"/>
      <c r="AX35" s="509"/>
      <c r="AY35" s="509"/>
      <c r="AZ35" s="509"/>
      <c r="BA35" s="509"/>
      <c r="BB35" s="509"/>
      <c r="BC35" s="509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0"/>
      <c r="BO35" s="510"/>
      <c r="BP35" s="510"/>
      <c r="BQ35" s="510"/>
      <c r="BR35" s="510"/>
      <c r="BS35" s="510"/>
      <c r="BT35" s="510"/>
      <c r="BU35" s="510"/>
      <c r="BV35" s="510"/>
      <c r="BW35" s="510"/>
      <c r="BX35" s="510"/>
      <c r="BY35" s="510"/>
      <c r="BZ35" s="510"/>
      <c r="CA35" s="510"/>
      <c r="CB35" s="510"/>
      <c r="CC35" s="510"/>
      <c r="CD35" s="510"/>
      <c r="CE35" s="510"/>
      <c r="CF35" s="510"/>
      <c r="CG35" s="510"/>
      <c r="CH35" s="510"/>
      <c r="CI35" s="510"/>
      <c r="CJ35" s="511">
        <v>0</v>
      </c>
      <c r="CK35" s="511"/>
      <c r="CL35" s="511"/>
      <c r="CM35" s="511"/>
      <c r="CN35" s="511"/>
      <c r="CO35" s="511"/>
      <c r="CP35" s="511"/>
      <c r="CQ35" s="511"/>
      <c r="CR35" s="511"/>
      <c r="CS35" s="511"/>
      <c r="CT35" s="511"/>
      <c r="CU35" s="511"/>
      <c r="CV35" s="511"/>
      <c r="CW35" s="511"/>
      <c r="CX35" s="511"/>
      <c r="CY35" s="511"/>
      <c r="CZ35" s="511"/>
      <c r="DA35" s="511"/>
    </row>
    <row r="36" spans="1:109" s="250" customFormat="1" ht="21.75" customHeight="1" x14ac:dyDescent="0.25">
      <c r="A36" s="508" t="s">
        <v>610</v>
      </c>
      <c r="B36" s="508"/>
      <c r="C36" s="508"/>
      <c r="D36" s="508"/>
      <c r="E36" s="508"/>
      <c r="F36" s="508"/>
      <c r="G36" s="508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9"/>
      <c r="AB36" s="509"/>
      <c r="AC36" s="509"/>
      <c r="AD36" s="509"/>
      <c r="AE36" s="509"/>
      <c r="AF36" s="509"/>
      <c r="AG36" s="509"/>
      <c r="AH36" s="509"/>
      <c r="AI36" s="509"/>
      <c r="AJ36" s="509"/>
      <c r="AK36" s="509"/>
      <c r="AL36" s="509"/>
      <c r="AM36" s="509"/>
      <c r="AN36" s="509"/>
      <c r="AO36" s="509"/>
      <c r="AP36" s="509"/>
      <c r="AQ36" s="509"/>
      <c r="AR36" s="509"/>
      <c r="AS36" s="509"/>
      <c r="AT36" s="509"/>
      <c r="AU36" s="509"/>
      <c r="AV36" s="509"/>
      <c r="AW36" s="509"/>
      <c r="AX36" s="509"/>
      <c r="AY36" s="509"/>
      <c r="AZ36" s="509"/>
      <c r="BA36" s="509"/>
      <c r="BB36" s="509"/>
      <c r="BC36" s="509"/>
      <c r="BD36" s="510"/>
      <c r="BE36" s="510"/>
      <c r="BF36" s="510"/>
      <c r="BG36" s="510"/>
      <c r="BH36" s="510"/>
      <c r="BI36" s="510"/>
      <c r="BJ36" s="510"/>
      <c r="BK36" s="510"/>
      <c r="BL36" s="510"/>
      <c r="BM36" s="510"/>
      <c r="BN36" s="510"/>
      <c r="BO36" s="510"/>
      <c r="BP36" s="510"/>
      <c r="BQ36" s="510"/>
      <c r="BR36" s="510"/>
      <c r="BS36" s="510"/>
      <c r="BT36" s="510"/>
      <c r="BU36" s="510"/>
      <c r="BV36" s="510"/>
      <c r="BW36" s="510"/>
      <c r="BX36" s="510"/>
      <c r="BY36" s="510"/>
      <c r="BZ36" s="510"/>
      <c r="CA36" s="510"/>
      <c r="CB36" s="510"/>
      <c r="CC36" s="510"/>
      <c r="CD36" s="510"/>
      <c r="CE36" s="510"/>
      <c r="CF36" s="510"/>
      <c r="CG36" s="510"/>
      <c r="CH36" s="510"/>
      <c r="CI36" s="510"/>
      <c r="CJ36" s="511"/>
      <c r="CK36" s="511"/>
      <c r="CL36" s="511"/>
      <c r="CM36" s="511"/>
      <c r="CN36" s="511"/>
      <c r="CO36" s="511"/>
      <c r="CP36" s="511"/>
      <c r="CQ36" s="511"/>
      <c r="CR36" s="511"/>
      <c r="CS36" s="511"/>
      <c r="CT36" s="511"/>
      <c r="CU36" s="511"/>
      <c r="CV36" s="511"/>
      <c r="CW36" s="511"/>
      <c r="CX36" s="511"/>
      <c r="CY36" s="511"/>
      <c r="CZ36" s="511"/>
      <c r="DA36" s="511"/>
    </row>
    <row r="37" spans="1:109" s="250" customFormat="1" ht="25.5" customHeight="1" x14ac:dyDescent="0.25">
      <c r="A37" s="508" t="s">
        <v>611</v>
      </c>
      <c r="B37" s="508"/>
      <c r="C37" s="508"/>
      <c r="D37" s="508"/>
      <c r="E37" s="508"/>
      <c r="F37" s="508"/>
      <c r="G37" s="508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X37" s="509"/>
      <c r="Y37" s="509"/>
      <c r="Z37" s="509"/>
      <c r="AA37" s="509"/>
      <c r="AB37" s="509"/>
      <c r="AC37" s="509"/>
      <c r="AD37" s="509"/>
      <c r="AE37" s="509"/>
      <c r="AF37" s="509"/>
      <c r="AG37" s="509"/>
      <c r="AH37" s="509"/>
      <c r="AI37" s="509"/>
      <c r="AJ37" s="509"/>
      <c r="AK37" s="509"/>
      <c r="AL37" s="509"/>
      <c r="AM37" s="509"/>
      <c r="AN37" s="509"/>
      <c r="AO37" s="509"/>
      <c r="AP37" s="509"/>
      <c r="AQ37" s="509"/>
      <c r="AR37" s="509"/>
      <c r="AS37" s="509"/>
      <c r="AT37" s="509"/>
      <c r="AU37" s="509"/>
      <c r="AV37" s="509"/>
      <c r="AW37" s="509"/>
      <c r="AX37" s="509"/>
      <c r="AY37" s="509"/>
      <c r="AZ37" s="509"/>
      <c r="BA37" s="509"/>
      <c r="BB37" s="509"/>
      <c r="BC37" s="509"/>
      <c r="BD37" s="510"/>
      <c r="BE37" s="510"/>
      <c r="BF37" s="510"/>
      <c r="BG37" s="510"/>
      <c r="BH37" s="510"/>
      <c r="BI37" s="510"/>
      <c r="BJ37" s="510"/>
      <c r="BK37" s="510"/>
      <c r="BL37" s="510"/>
      <c r="BM37" s="510"/>
      <c r="BN37" s="510"/>
      <c r="BO37" s="510"/>
      <c r="BP37" s="510"/>
      <c r="BQ37" s="510"/>
      <c r="BR37" s="510"/>
      <c r="BS37" s="510"/>
      <c r="BT37" s="510"/>
      <c r="BU37" s="510"/>
      <c r="BV37" s="510"/>
      <c r="BW37" s="510"/>
      <c r="BX37" s="510"/>
      <c r="BY37" s="510"/>
      <c r="BZ37" s="510"/>
      <c r="CA37" s="510"/>
      <c r="CB37" s="510"/>
      <c r="CC37" s="510"/>
      <c r="CD37" s="510"/>
      <c r="CE37" s="510"/>
      <c r="CF37" s="510"/>
      <c r="CG37" s="510"/>
      <c r="CH37" s="510"/>
      <c r="CI37" s="510"/>
      <c r="CJ37" s="511">
        <v>145760</v>
      </c>
      <c r="CK37" s="511"/>
      <c r="CL37" s="511"/>
      <c r="CM37" s="511"/>
      <c r="CN37" s="511"/>
      <c r="CO37" s="511"/>
      <c r="CP37" s="511"/>
      <c r="CQ37" s="511"/>
      <c r="CR37" s="511"/>
      <c r="CS37" s="511"/>
      <c r="CT37" s="511"/>
      <c r="CU37" s="511"/>
      <c r="CV37" s="511"/>
      <c r="CW37" s="511"/>
      <c r="CX37" s="511"/>
      <c r="CY37" s="511"/>
      <c r="CZ37" s="511"/>
      <c r="DA37" s="511"/>
    </row>
    <row r="38" spans="1:109" s="250" customFormat="1" ht="15" customHeight="1" x14ac:dyDescent="0.25">
      <c r="A38" s="508" t="s">
        <v>612</v>
      </c>
      <c r="B38" s="508"/>
      <c r="C38" s="508"/>
      <c r="D38" s="508"/>
      <c r="E38" s="508"/>
      <c r="F38" s="508"/>
      <c r="G38" s="508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  <c r="AW38" s="509"/>
      <c r="AX38" s="509"/>
      <c r="AY38" s="509"/>
      <c r="AZ38" s="509"/>
      <c r="BA38" s="509"/>
      <c r="BB38" s="509"/>
      <c r="BC38" s="509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0"/>
      <c r="BO38" s="510"/>
      <c r="BP38" s="510"/>
      <c r="BQ38" s="510"/>
      <c r="BR38" s="510"/>
      <c r="BS38" s="510"/>
      <c r="BT38" s="510"/>
      <c r="BU38" s="510"/>
      <c r="BV38" s="510"/>
      <c r="BW38" s="510"/>
      <c r="BX38" s="510"/>
      <c r="BY38" s="510"/>
      <c r="BZ38" s="510"/>
      <c r="CA38" s="510"/>
      <c r="CB38" s="510"/>
      <c r="CC38" s="510"/>
      <c r="CD38" s="510"/>
      <c r="CE38" s="510"/>
      <c r="CF38" s="510"/>
      <c r="CG38" s="510"/>
      <c r="CH38" s="510"/>
      <c r="CI38" s="510"/>
      <c r="CJ38" s="511">
        <v>101080</v>
      </c>
      <c r="CK38" s="511"/>
      <c r="CL38" s="511"/>
      <c r="CM38" s="511"/>
      <c r="CN38" s="511"/>
      <c r="CO38" s="511"/>
      <c r="CP38" s="511"/>
      <c r="CQ38" s="511"/>
      <c r="CR38" s="511"/>
      <c r="CS38" s="511"/>
      <c r="CT38" s="511"/>
      <c r="CU38" s="511"/>
      <c r="CV38" s="511"/>
      <c r="CW38" s="511"/>
      <c r="CX38" s="511"/>
      <c r="CY38" s="511"/>
      <c r="CZ38" s="511"/>
      <c r="DA38" s="511"/>
    </row>
    <row r="39" spans="1:109" s="250" customFormat="1" ht="15" customHeight="1" x14ac:dyDescent="0.25">
      <c r="A39" s="508" t="s">
        <v>613</v>
      </c>
      <c r="B39" s="508"/>
      <c r="C39" s="508"/>
      <c r="D39" s="508"/>
      <c r="E39" s="508"/>
      <c r="F39" s="508"/>
      <c r="G39" s="508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09"/>
      <c r="AF39" s="509"/>
      <c r="AG39" s="509"/>
      <c r="AH39" s="509"/>
      <c r="AI39" s="509"/>
      <c r="AJ39" s="509"/>
      <c r="AK39" s="509"/>
      <c r="AL39" s="509"/>
      <c r="AM39" s="509"/>
      <c r="AN39" s="509"/>
      <c r="AO39" s="509"/>
      <c r="AP39" s="509"/>
      <c r="AQ39" s="509"/>
      <c r="AR39" s="509"/>
      <c r="AS39" s="509"/>
      <c r="AT39" s="509"/>
      <c r="AU39" s="509"/>
      <c r="AV39" s="509"/>
      <c r="AW39" s="509"/>
      <c r="AX39" s="509"/>
      <c r="AY39" s="509"/>
      <c r="AZ39" s="509"/>
      <c r="BA39" s="509"/>
      <c r="BB39" s="509"/>
      <c r="BC39" s="509"/>
      <c r="BD39" s="510"/>
      <c r="BE39" s="510"/>
      <c r="BF39" s="510"/>
      <c r="BG39" s="510"/>
      <c r="BH39" s="510"/>
      <c r="BI39" s="510"/>
      <c r="BJ39" s="510"/>
      <c r="BK39" s="510"/>
      <c r="BL39" s="510"/>
      <c r="BM39" s="510"/>
      <c r="BN39" s="510"/>
      <c r="BO39" s="510"/>
      <c r="BP39" s="510"/>
      <c r="BQ39" s="510"/>
      <c r="BR39" s="510"/>
      <c r="BS39" s="510"/>
      <c r="BT39" s="510"/>
      <c r="BU39" s="510"/>
      <c r="BV39" s="510"/>
      <c r="BW39" s="510"/>
      <c r="BX39" s="510"/>
      <c r="BY39" s="510"/>
      <c r="BZ39" s="510"/>
      <c r="CA39" s="510"/>
      <c r="CB39" s="510"/>
      <c r="CC39" s="510"/>
      <c r="CD39" s="510"/>
      <c r="CE39" s="510"/>
      <c r="CF39" s="510"/>
      <c r="CG39" s="510"/>
      <c r="CH39" s="510"/>
      <c r="CI39" s="510"/>
      <c r="CJ39" s="511">
        <v>146060</v>
      </c>
      <c r="CK39" s="511"/>
      <c r="CL39" s="511"/>
      <c r="CM39" s="511"/>
      <c r="CN39" s="511"/>
      <c r="CO39" s="511"/>
      <c r="CP39" s="511"/>
      <c r="CQ39" s="511"/>
      <c r="CR39" s="511"/>
      <c r="CS39" s="511"/>
      <c r="CT39" s="511"/>
      <c r="CU39" s="511"/>
      <c r="CV39" s="511"/>
      <c r="CW39" s="511"/>
      <c r="CX39" s="511"/>
      <c r="CY39" s="511"/>
      <c r="CZ39" s="511"/>
      <c r="DA39" s="511"/>
    </row>
    <row r="40" spans="1:109" s="250" customFormat="1" ht="26.25" customHeight="1" x14ac:dyDescent="0.25">
      <c r="A40" s="508" t="s">
        <v>614</v>
      </c>
      <c r="B40" s="508"/>
      <c r="C40" s="508"/>
      <c r="D40" s="508"/>
      <c r="E40" s="508"/>
      <c r="F40" s="508"/>
      <c r="G40" s="508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09"/>
      <c r="Z40" s="509"/>
      <c r="AA40" s="509"/>
      <c r="AB40" s="509"/>
      <c r="AC40" s="509"/>
      <c r="AD40" s="509"/>
      <c r="AE40" s="509"/>
      <c r="AF40" s="509"/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/>
      <c r="BA40" s="509"/>
      <c r="BB40" s="509"/>
      <c r="BC40" s="509"/>
      <c r="BD40" s="510"/>
      <c r="BE40" s="510"/>
      <c r="BF40" s="510"/>
      <c r="BG40" s="510"/>
      <c r="BH40" s="510"/>
      <c r="BI40" s="510"/>
      <c r="BJ40" s="510"/>
      <c r="BK40" s="510"/>
      <c r="BL40" s="510"/>
      <c r="BM40" s="510"/>
      <c r="BN40" s="510"/>
      <c r="BO40" s="510"/>
      <c r="BP40" s="510"/>
      <c r="BQ40" s="510"/>
      <c r="BR40" s="510"/>
      <c r="BS40" s="510"/>
      <c r="BT40" s="510"/>
      <c r="BU40" s="510"/>
      <c r="BV40" s="510"/>
      <c r="BW40" s="510"/>
      <c r="BX40" s="510"/>
      <c r="BY40" s="510"/>
      <c r="BZ40" s="510"/>
      <c r="CA40" s="510"/>
      <c r="CB40" s="510"/>
      <c r="CC40" s="510"/>
      <c r="CD40" s="510"/>
      <c r="CE40" s="510"/>
      <c r="CF40" s="510"/>
      <c r="CG40" s="510"/>
      <c r="CH40" s="510"/>
      <c r="CI40" s="510"/>
      <c r="CJ40" s="511"/>
      <c r="CK40" s="511"/>
      <c r="CL40" s="511"/>
      <c r="CM40" s="511"/>
      <c r="CN40" s="511"/>
      <c r="CO40" s="511"/>
      <c r="CP40" s="511"/>
      <c r="CQ40" s="511"/>
      <c r="CR40" s="511"/>
      <c r="CS40" s="511"/>
      <c r="CT40" s="511"/>
      <c r="CU40" s="511"/>
      <c r="CV40" s="511"/>
      <c r="CW40" s="511"/>
      <c r="CX40" s="511"/>
      <c r="CY40" s="511"/>
      <c r="CZ40" s="511"/>
      <c r="DA40" s="511"/>
    </row>
    <row r="41" spans="1:109" s="250" customFormat="1" ht="31.5" customHeight="1" x14ac:dyDescent="0.25">
      <c r="A41" s="508"/>
      <c r="B41" s="508"/>
      <c r="C41" s="508"/>
      <c r="D41" s="508"/>
      <c r="E41" s="508"/>
      <c r="F41" s="508"/>
      <c r="G41" s="508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509"/>
      <c r="Z41" s="509"/>
      <c r="AA41" s="509"/>
      <c r="AB41" s="509"/>
      <c r="AC41" s="509"/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09"/>
      <c r="AV41" s="509"/>
      <c r="AW41" s="509"/>
      <c r="AX41" s="509"/>
      <c r="AY41" s="509"/>
      <c r="AZ41" s="509"/>
      <c r="BA41" s="509"/>
      <c r="BB41" s="509"/>
      <c r="BC41" s="509"/>
      <c r="BD41" s="510"/>
      <c r="BE41" s="510"/>
      <c r="BF41" s="510"/>
      <c r="BG41" s="510"/>
      <c r="BH41" s="510"/>
      <c r="BI41" s="510"/>
      <c r="BJ41" s="510"/>
      <c r="BK41" s="510"/>
      <c r="BL41" s="510"/>
      <c r="BM41" s="510"/>
      <c r="BN41" s="510"/>
      <c r="BO41" s="510"/>
      <c r="BP41" s="510"/>
      <c r="BQ41" s="510"/>
      <c r="BR41" s="510"/>
      <c r="BS41" s="510"/>
      <c r="BT41" s="510"/>
      <c r="BU41" s="510"/>
      <c r="BV41" s="510"/>
      <c r="BW41" s="510"/>
      <c r="BX41" s="510"/>
      <c r="BY41" s="510"/>
      <c r="BZ41" s="510"/>
      <c r="CA41" s="510"/>
      <c r="CB41" s="510"/>
      <c r="CC41" s="510"/>
      <c r="CD41" s="510"/>
      <c r="CE41" s="510"/>
      <c r="CF41" s="510"/>
      <c r="CG41" s="510"/>
      <c r="CH41" s="510"/>
      <c r="CI41" s="510"/>
      <c r="CJ41" s="511"/>
      <c r="CK41" s="511"/>
      <c r="CL41" s="511"/>
      <c r="CM41" s="511"/>
      <c r="CN41" s="511"/>
      <c r="CO41" s="511"/>
      <c r="CP41" s="511"/>
      <c r="CQ41" s="511"/>
      <c r="CR41" s="511"/>
      <c r="CS41" s="511"/>
      <c r="CT41" s="511"/>
      <c r="CU41" s="511"/>
      <c r="CV41" s="511"/>
      <c r="CW41" s="511"/>
      <c r="CX41" s="511"/>
      <c r="CY41" s="511"/>
      <c r="CZ41" s="511"/>
      <c r="DA41" s="511"/>
    </row>
    <row r="42" spans="1:109" s="250" customFormat="1" ht="15" customHeight="1" x14ac:dyDescent="0.25">
      <c r="A42" s="508"/>
      <c r="B42" s="508"/>
      <c r="C42" s="508"/>
      <c r="D42" s="508"/>
      <c r="E42" s="508"/>
      <c r="F42" s="508"/>
      <c r="G42" s="508"/>
      <c r="H42" s="512" t="s">
        <v>521</v>
      </c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  <c r="AP42" s="512"/>
      <c r="AQ42" s="512"/>
      <c r="AR42" s="512"/>
      <c r="AS42" s="512"/>
      <c r="AT42" s="512"/>
      <c r="AU42" s="512"/>
      <c r="AV42" s="512"/>
      <c r="AW42" s="512"/>
      <c r="AX42" s="512"/>
      <c r="AY42" s="512"/>
      <c r="AZ42" s="512"/>
      <c r="BA42" s="512"/>
      <c r="BB42" s="512"/>
      <c r="BC42" s="513"/>
      <c r="BD42" s="510"/>
      <c r="BE42" s="510"/>
      <c r="BF42" s="510"/>
      <c r="BG42" s="510"/>
      <c r="BH42" s="510"/>
      <c r="BI42" s="510"/>
      <c r="BJ42" s="510"/>
      <c r="BK42" s="510"/>
      <c r="BL42" s="510"/>
      <c r="BM42" s="510"/>
      <c r="BN42" s="510"/>
      <c r="BO42" s="510"/>
      <c r="BP42" s="510"/>
      <c r="BQ42" s="510"/>
      <c r="BR42" s="510"/>
      <c r="BS42" s="510"/>
      <c r="BT42" s="510" t="s">
        <v>494</v>
      </c>
      <c r="BU42" s="510"/>
      <c r="BV42" s="510"/>
      <c r="BW42" s="510"/>
      <c r="BX42" s="510"/>
      <c r="BY42" s="510"/>
      <c r="BZ42" s="510"/>
      <c r="CA42" s="510"/>
      <c r="CB42" s="510"/>
      <c r="CC42" s="510"/>
      <c r="CD42" s="510"/>
      <c r="CE42" s="510"/>
      <c r="CF42" s="510"/>
      <c r="CG42" s="510"/>
      <c r="CH42" s="510"/>
      <c r="CI42" s="510"/>
      <c r="CJ42" s="514">
        <f>CJ35+CJ36+CJ37+CJ38+CJ39+CJ40+CJ41</f>
        <v>392900</v>
      </c>
      <c r="CK42" s="514"/>
      <c r="CL42" s="514"/>
      <c r="CM42" s="514"/>
      <c r="CN42" s="514"/>
      <c r="CO42" s="514"/>
      <c r="CP42" s="514"/>
      <c r="CQ42" s="514"/>
      <c r="CR42" s="514"/>
      <c r="CS42" s="514"/>
      <c r="CT42" s="514"/>
      <c r="CU42" s="514"/>
      <c r="CV42" s="514"/>
      <c r="CW42" s="514"/>
      <c r="CX42" s="514"/>
      <c r="CY42" s="514"/>
      <c r="CZ42" s="514"/>
      <c r="DA42" s="514"/>
      <c r="DE42" s="257">
        <f>CJ42+CM29+BW17+CJ9</f>
        <v>842600</v>
      </c>
    </row>
    <row r="43" spans="1:109" s="250" customFormat="1" ht="15" customHeight="1" x14ac:dyDescent="0.25">
      <c r="A43" s="263"/>
      <c r="B43" s="263"/>
      <c r="C43" s="263"/>
      <c r="D43" s="263"/>
      <c r="E43" s="263"/>
      <c r="F43" s="263"/>
      <c r="G43" s="263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E43" s="257"/>
    </row>
    <row r="44" spans="1:109" s="248" customFormat="1" ht="14.25" hidden="1" x14ac:dyDescent="0.2">
      <c r="A44" s="527" t="s">
        <v>615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7"/>
      <c r="AH44" s="527"/>
      <c r="AI44" s="527"/>
      <c r="AJ44" s="527"/>
      <c r="AK44" s="527"/>
      <c r="AL44" s="527"/>
      <c r="AM44" s="527"/>
      <c r="AN44" s="527"/>
      <c r="AO44" s="527"/>
      <c r="AP44" s="527"/>
      <c r="AQ44" s="527"/>
      <c r="AR44" s="527"/>
      <c r="AS44" s="527"/>
      <c r="AT44" s="527"/>
      <c r="AU44" s="527"/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7"/>
      <c r="BG44" s="527"/>
      <c r="BH44" s="527"/>
      <c r="BI44" s="527"/>
      <c r="BJ44" s="527"/>
      <c r="BK44" s="527"/>
      <c r="BL44" s="527"/>
      <c r="BM44" s="527"/>
      <c r="BN44" s="527"/>
      <c r="BO44" s="527"/>
      <c r="BP44" s="527"/>
      <c r="BQ44" s="527"/>
      <c r="BR44" s="527"/>
      <c r="BS44" s="527"/>
      <c r="BT44" s="527"/>
      <c r="BU44" s="527"/>
      <c r="BV44" s="527"/>
      <c r="BW44" s="527"/>
      <c r="BX44" s="527"/>
      <c r="BY44" s="527"/>
      <c r="BZ44" s="527"/>
      <c r="CA44" s="527"/>
      <c r="CB44" s="527"/>
      <c r="CC44" s="527"/>
      <c r="CD44" s="527"/>
      <c r="CE44" s="527"/>
      <c r="CF44" s="527"/>
      <c r="CG44" s="527"/>
      <c r="CH44" s="527"/>
      <c r="CI44" s="527"/>
      <c r="CJ44" s="527"/>
      <c r="CK44" s="527"/>
      <c r="CL44" s="527"/>
      <c r="CM44" s="527"/>
      <c r="CN44" s="527"/>
      <c r="CO44" s="527"/>
      <c r="CP44" s="527"/>
      <c r="CQ44" s="527"/>
      <c r="CR44" s="527"/>
      <c r="CS44" s="527"/>
      <c r="CT44" s="527"/>
      <c r="CU44" s="527"/>
      <c r="CV44" s="527"/>
      <c r="CW44" s="527"/>
      <c r="CX44" s="527"/>
      <c r="CY44" s="527"/>
      <c r="CZ44" s="527"/>
      <c r="DA44" s="527"/>
      <c r="DE44" s="96" t="s">
        <v>605</v>
      </c>
    </row>
    <row r="45" spans="1:109" ht="10.5" hidden="1" customHeight="1" x14ac:dyDescent="0.25"/>
    <row r="46" spans="1:109" s="251" customFormat="1" ht="45" hidden="1" customHeight="1" x14ac:dyDescent="0.25">
      <c r="A46" s="520" t="s">
        <v>176</v>
      </c>
      <c r="B46" s="521"/>
      <c r="C46" s="521"/>
      <c r="D46" s="521"/>
      <c r="E46" s="521"/>
      <c r="F46" s="521"/>
      <c r="G46" s="522"/>
      <c r="H46" s="520" t="s">
        <v>549</v>
      </c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21"/>
      <c r="AF46" s="521"/>
      <c r="AG46" s="521"/>
      <c r="AH46" s="521"/>
      <c r="AI46" s="521"/>
      <c r="AJ46" s="521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521"/>
      <c r="BB46" s="521"/>
      <c r="BC46" s="522"/>
      <c r="BD46" s="520" t="s">
        <v>563</v>
      </c>
      <c r="BE46" s="521"/>
      <c r="BF46" s="521"/>
      <c r="BG46" s="521"/>
      <c r="BH46" s="521"/>
      <c r="BI46" s="521"/>
      <c r="BJ46" s="521"/>
      <c r="BK46" s="521"/>
      <c r="BL46" s="521"/>
      <c r="BM46" s="521"/>
      <c r="BN46" s="521"/>
      <c r="BO46" s="521"/>
      <c r="BP46" s="521"/>
      <c r="BQ46" s="521"/>
      <c r="BR46" s="521"/>
      <c r="BS46" s="522"/>
      <c r="BT46" s="520" t="s">
        <v>564</v>
      </c>
      <c r="BU46" s="521"/>
      <c r="BV46" s="521"/>
      <c r="BW46" s="521"/>
      <c r="BX46" s="521"/>
      <c r="BY46" s="521"/>
      <c r="BZ46" s="521"/>
      <c r="CA46" s="521"/>
      <c r="CB46" s="521"/>
      <c r="CC46" s="521"/>
      <c r="CD46" s="521"/>
      <c r="CE46" s="521"/>
      <c r="CF46" s="521"/>
      <c r="CG46" s="521"/>
      <c r="CH46" s="521"/>
      <c r="CI46" s="522"/>
      <c r="CJ46" s="520" t="s">
        <v>565</v>
      </c>
      <c r="CK46" s="521"/>
      <c r="CL46" s="521"/>
      <c r="CM46" s="521"/>
      <c r="CN46" s="521"/>
      <c r="CO46" s="521"/>
      <c r="CP46" s="521"/>
      <c r="CQ46" s="521"/>
      <c r="CR46" s="521"/>
      <c r="CS46" s="521"/>
      <c r="CT46" s="521"/>
      <c r="CU46" s="521"/>
      <c r="CV46" s="521"/>
      <c r="CW46" s="521"/>
      <c r="CX46" s="521"/>
      <c r="CY46" s="521"/>
      <c r="CZ46" s="521"/>
      <c r="DA46" s="522"/>
    </row>
    <row r="47" spans="1:109" s="187" customFormat="1" ht="12.75" hidden="1" x14ac:dyDescent="0.25">
      <c r="A47" s="515">
        <v>1</v>
      </c>
      <c r="B47" s="515"/>
      <c r="C47" s="515"/>
      <c r="D47" s="515"/>
      <c r="E47" s="515"/>
      <c r="F47" s="515"/>
      <c r="G47" s="515"/>
      <c r="H47" s="515">
        <v>2</v>
      </c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  <c r="AO47" s="515"/>
      <c r="AP47" s="515"/>
      <c r="AQ47" s="515"/>
      <c r="AR47" s="515"/>
      <c r="AS47" s="515"/>
      <c r="AT47" s="515"/>
      <c r="AU47" s="515"/>
      <c r="AV47" s="515"/>
      <c r="AW47" s="515"/>
      <c r="AX47" s="515"/>
      <c r="AY47" s="515"/>
      <c r="AZ47" s="515"/>
      <c r="BA47" s="515"/>
      <c r="BB47" s="515"/>
      <c r="BC47" s="515"/>
      <c r="BD47" s="515">
        <v>3</v>
      </c>
      <c r="BE47" s="515"/>
      <c r="BF47" s="515"/>
      <c r="BG47" s="515"/>
      <c r="BH47" s="515"/>
      <c r="BI47" s="515"/>
      <c r="BJ47" s="515"/>
      <c r="BK47" s="515"/>
      <c r="BL47" s="515"/>
      <c r="BM47" s="515"/>
      <c r="BN47" s="515"/>
      <c r="BO47" s="515"/>
      <c r="BP47" s="515"/>
      <c r="BQ47" s="515"/>
      <c r="BR47" s="515"/>
      <c r="BS47" s="515"/>
      <c r="BT47" s="515">
        <v>4</v>
      </c>
      <c r="BU47" s="515"/>
      <c r="BV47" s="515"/>
      <c r="BW47" s="515"/>
      <c r="BX47" s="515"/>
      <c r="BY47" s="515"/>
      <c r="BZ47" s="515"/>
      <c r="CA47" s="515"/>
      <c r="CB47" s="515"/>
      <c r="CC47" s="515"/>
      <c r="CD47" s="515"/>
      <c r="CE47" s="515"/>
      <c r="CF47" s="515"/>
      <c r="CG47" s="515"/>
      <c r="CH47" s="515"/>
      <c r="CI47" s="515"/>
      <c r="CJ47" s="515">
        <v>5</v>
      </c>
      <c r="CK47" s="515"/>
      <c r="CL47" s="515"/>
      <c r="CM47" s="515"/>
      <c r="CN47" s="515"/>
      <c r="CO47" s="515"/>
      <c r="CP47" s="515"/>
      <c r="CQ47" s="515"/>
      <c r="CR47" s="515"/>
      <c r="CS47" s="515"/>
      <c r="CT47" s="515"/>
      <c r="CU47" s="515"/>
      <c r="CV47" s="515"/>
      <c r="CW47" s="515"/>
      <c r="CX47" s="515"/>
      <c r="CY47" s="515"/>
      <c r="CZ47" s="515"/>
      <c r="DA47" s="515"/>
    </row>
    <row r="48" spans="1:109" s="250" customFormat="1" ht="15" hidden="1" customHeight="1" x14ac:dyDescent="0.25">
      <c r="A48" s="508"/>
      <c r="B48" s="508"/>
      <c r="C48" s="508"/>
      <c r="D48" s="508"/>
      <c r="E48" s="508"/>
      <c r="F48" s="508"/>
      <c r="G48" s="508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  <c r="Z48" s="509"/>
      <c r="AA48" s="509"/>
      <c r="AB48" s="509"/>
      <c r="AC48" s="509"/>
      <c r="AD48" s="509"/>
      <c r="AE48" s="509"/>
      <c r="AF48" s="509"/>
      <c r="AG48" s="509"/>
      <c r="AH48" s="509"/>
      <c r="AI48" s="509"/>
      <c r="AJ48" s="509"/>
      <c r="AK48" s="509"/>
      <c r="AL48" s="509"/>
      <c r="AM48" s="509"/>
      <c r="AN48" s="509"/>
      <c r="AO48" s="509"/>
      <c r="AP48" s="509"/>
      <c r="AQ48" s="509"/>
      <c r="AR48" s="509"/>
      <c r="AS48" s="509"/>
      <c r="AT48" s="509"/>
      <c r="AU48" s="509"/>
      <c r="AV48" s="509"/>
      <c r="AW48" s="509"/>
      <c r="AX48" s="509"/>
      <c r="AY48" s="509"/>
      <c r="AZ48" s="509"/>
      <c r="BA48" s="509"/>
      <c r="BB48" s="509"/>
      <c r="BC48" s="509"/>
      <c r="BD48" s="510"/>
      <c r="BE48" s="510"/>
      <c r="BF48" s="510"/>
      <c r="BG48" s="510"/>
      <c r="BH48" s="510"/>
      <c r="BI48" s="510"/>
      <c r="BJ48" s="510"/>
      <c r="BK48" s="510"/>
      <c r="BL48" s="510"/>
      <c r="BM48" s="510"/>
      <c r="BN48" s="510"/>
      <c r="BO48" s="510"/>
      <c r="BP48" s="510"/>
      <c r="BQ48" s="510"/>
      <c r="BR48" s="510"/>
      <c r="BS48" s="510"/>
      <c r="BT48" s="510"/>
      <c r="BU48" s="510"/>
      <c r="BV48" s="510"/>
      <c r="BW48" s="510"/>
      <c r="BX48" s="510"/>
      <c r="BY48" s="510"/>
      <c r="BZ48" s="510"/>
      <c r="CA48" s="510"/>
      <c r="CB48" s="510"/>
      <c r="CC48" s="510"/>
      <c r="CD48" s="510"/>
      <c r="CE48" s="510"/>
      <c r="CF48" s="510"/>
      <c r="CG48" s="510"/>
      <c r="CH48" s="510"/>
      <c r="CI48" s="510"/>
      <c r="CJ48" s="510"/>
      <c r="CK48" s="510"/>
      <c r="CL48" s="510"/>
      <c r="CM48" s="510"/>
      <c r="CN48" s="510"/>
      <c r="CO48" s="510"/>
      <c r="CP48" s="510"/>
      <c r="CQ48" s="510"/>
      <c r="CR48" s="510"/>
      <c r="CS48" s="510"/>
      <c r="CT48" s="510"/>
      <c r="CU48" s="510"/>
      <c r="CV48" s="510"/>
      <c r="CW48" s="510"/>
      <c r="CX48" s="510"/>
      <c r="CY48" s="510"/>
      <c r="CZ48" s="510"/>
      <c r="DA48" s="510"/>
    </row>
    <row r="49" spans="1:109" s="250" customFormat="1" ht="15" hidden="1" customHeight="1" x14ac:dyDescent="0.25">
      <c r="A49" s="508"/>
      <c r="B49" s="508"/>
      <c r="C49" s="508"/>
      <c r="D49" s="508"/>
      <c r="E49" s="508"/>
      <c r="F49" s="508"/>
      <c r="G49" s="508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  <c r="Z49" s="509"/>
      <c r="AA49" s="509"/>
      <c r="AB49" s="509"/>
      <c r="AC49" s="509"/>
      <c r="AD49" s="509"/>
      <c r="AE49" s="509"/>
      <c r="AF49" s="509"/>
      <c r="AG49" s="509"/>
      <c r="AH49" s="509"/>
      <c r="AI49" s="509"/>
      <c r="AJ49" s="509"/>
      <c r="AK49" s="509"/>
      <c r="AL49" s="509"/>
      <c r="AM49" s="509"/>
      <c r="AN49" s="509"/>
      <c r="AO49" s="509"/>
      <c r="AP49" s="509"/>
      <c r="AQ49" s="509"/>
      <c r="AR49" s="509"/>
      <c r="AS49" s="509"/>
      <c r="AT49" s="509"/>
      <c r="AU49" s="509"/>
      <c r="AV49" s="509"/>
      <c r="AW49" s="509"/>
      <c r="AX49" s="509"/>
      <c r="AY49" s="509"/>
      <c r="AZ49" s="509"/>
      <c r="BA49" s="509"/>
      <c r="BB49" s="509"/>
      <c r="BC49" s="509"/>
      <c r="BD49" s="510"/>
      <c r="BE49" s="510"/>
      <c r="BF49" s="510"/>
      <c r="BG49" s="510"/>
      <c r="BH49" s="510"/>
      <c r="BI49" s="510"/>
      <c r="BJ49" s="510"/>
      <c r="BK49" s="510"/>
      <c r="BL49" s="510"/>
      <c r="BM49" s="510"/>
      <c r="BN49" s="510"/>
      <c r="BO49" s="510"/>
      <c r="BP49" s="510"/>
      <c r="BQ49" s="510"/>
      <c r="BR49" s="510"/>
      <c r="BS49" s="510"/>
      <c r="BT49" s="510"/>
      <c r="BU49" s="510"/>
      <c r="BV49" s="510"/>
      <c r="BW49" s="510"/>
      <c r="BX49" s="510"/>
      <c r="BY49" s="510"/>
      <c r="BZ49" s="510"/>
      <c r="CA49" s="510"/>
      <c r="CB49" s="510"/>
      <c r="CC49" s="510"/>
      <c r="CD49" s="510"/>
      <c r="CE49" s="510"/>
      <c r="CF49" s="510"/>
      <c r="CG49" s="510"/>
      <c r="CH49" s="510"/>
      <c r="CI49" s="510"/>
      <c r="CJ49" s="510"/>
      <c r="CK49" s="510"/>
      <c r="CL49" s="510"/>
      <c r="CM49" s="510"/>
      <c r="CN49" s="510"/>
      <c r="CO49" s="510"/>
      <c r="CP49" s="510"/>
      <c r="CQ49" s="510"/>
      <c r="CR49" s="510"/>
      <c r="CS49" s="510"/>
      <c r="CT49" s="510"/>
      <c r="CU49" s="510"/>
      <c r="CV49" s="510"/>
      <c r="CW49" s="510"/>
      <c r="CX49" s="510"/>
      <c r="CY49" s="510"/>
      <c r="CZ49" s="510"/>
      <c r="DA49" s="510"/>
    </row>
    <row r="50" spans="1:109" s="250" customFormat="1" ht="15" hidden="1" customHeight="1" x14ac:dyDescent="0.25">
      <c r="A50" s="508"/>
      <c r="B50" s="508"/>
      <c r="C50" s="508"/>
      <c r="D50" s="508"/>
      <c r="E50" s="508"/>
      <c r="F50" s="508"/>
      <c r="G50" s="508"/>
      <c r="H50" s="512" t="s">
        <v>521</v>
      </c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2"/>
      <c r="AN50" s="512"/>
      <c r="AO50" s="512"/>
      <c r="AP50" s="512"/>
      <c r="AQ50" s="512"/>
      <c r="AR50" s="512"/>
      <c r="AS50" s="512"/>
      <c r="AT50" s="512"/>
      <c r="AU50" s="512"/>
      <c r="AV50" s="512"/>
      <c r="AW50" s="512"/>
      <c r="AX50" s="512"/>
      <c r="AY50" s="512"/>
      <c r="AZ50" s="512"/>
      <c r="BA50" s="512"/>
      <c r="BB50" s="512"/>
      <c r="BC50" s="513"/>
      <c r="BD50" s="510"/>
      <c r="BE50" s="510"/>
      <c r="BF50" s="510"/>
      <c r="BG50" s="510"/>
      <c r="BH50" s="510"/>
      <c r="BI50" s="510"/>
      <c r="BJ50" s="510"/>
      <c r="BK50" s="510"/>
      <c r="BL50" s="510"/>
      <c r="BM50" s="510"/>
      <c r="BN50" s="510"/>
      <c r="BO50" s="510"/>
      <c r="BP50" s="510"/>
      <c r="BQ50" s="510"/>
      <c r="BR50" s="510"/>
      <c r="BS50" s="510"/>
      <c r="BT50" s="510"/>
      <c r="BU50" s="510"/>
      <c r="BV50" s="510"/>
      <c r="BW50" s="510"/>
      <c r="BX50" s="510"/>
      <c r="BY50" s="510"/>
      <c r="BZ50" s="510"/>
      <c r="CA50" s="510"/>
      <c r="CB50" s="510"/>
      <c r="CC50" s="510"/>
      <c r="CD50" s="510"/>
      <c r="CE50" s="510"/>
      <c r="CF50" s="510"/>
      <c r="CG50" s="510"/>
      <c r="CH50" s="510"/>
      <c r="CI50" s="510"/>
      <c r="CJ50" s="526"/>
      <c r="CK50" s="526"/>
      <c r="CL50" s="526"/>
      <c r="CM50" s="526"/>
      <c r="CN50" s="526"/>
      <c r="CO50" s="526"/>
      <c r="CP50" s="526"/>
      <c r="CQ50" s="526"/>
      <c r="CR50" s="526"/>
      <c r="CS50" s="526"/>
      <c r="CT50" s="526"/>
      <c r="CU50" s="526"/>
      <c r="CV50" s="526"/>
      <c r="CW50" s="526"/>
      <c r="CX50" s="526"/>
      <c r="CY50" s="526"/>
      <c r="CZ50" s="526"/>
      <c r="DA50" s="526"/>
      <c r="DE50" s="250">
        <v>222</v>
      </c>
    </row>
    <row r="51" spans="1:109" s="250" customFormat="1" ht="15" customHeight="1" x14ac:dyDescent="0.25">
      <c r="A51" s="267"/>
      <c r="B51" s="267"/>
      <c r="C51" s="267"/>
      <c r="D51" s="267"/>
      <c r="E51" s="267"/>
      <c r="F51" s="267"/>
      <c r="G51" s="267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69"/>
      <c r="CH51" s="269"/>
      <c r="CI51" s="269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</row>
    <row r="52" spans="1:109" s="248" customFormat="1" ht="64.5" hidden="1" customHeight="1" x14ac:dyDescent="0.2">
      <c r="A52" s="636" t="s">
        <v>616</v>
      </c>
      <c r="B52" s="636"/>
      <c r="C52" s="636"/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  <c r="Q52" s="636"/>
      <c r="R52" s="636"/>
      <c r="S52" s="636"/>
      <c r="T52" s="636"/>
      <c r="U52" s="636"/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36"/>
      <c r="AG52" s="636"/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36"/>
      <c r="AT52" s="636"/>
      <c r="AU52" s="636"/>
      <c r="AV52" s="636"/>
      <c r="AW52" s="636"/>
      <c r="AX52" s="636"/>
      <c r="AY52" s="636"/>
      <c r="AZ52" s="636"/>
      <c r="BA52" s="636"/>
      <c r="BB52" s="636"/>
      <c r="BC52" s="636"/>
      <c r="BD52" s="636"/>
      <c r="BE52" s="636"/>
      <c r="BF52" s="636"/>
      <c r="BG52" s="636"/>
      <c r="BH52" s="636"/>
      <c r="BI52" s="636"/>
      <c r="BJ52" s="636"/>
      <c r="BK52" s="636"/>
      <c r="BL52" s="636"/>
      <c r="BM52" s="636"/>
      <c r="BN52" s="636"/>
      <c r="BO52" s="636"/>
      <c r="BP52" s="636"/>
      <c r="BQ52" s="636"/>
      <c r="BR52" s="636"/>
      <c r="BS52" s="636"/>
      <c r="BT52" s="636"/>
      <c r="BU52" s="636"/>
      <c r="BV52" s="636"/>
      <c r="BW52" s="636"/>
      <c r="BX52" s="636"/>
      <c r="BY52" s="636"/>
      <c r="BZ52" s="636"/>
      <c r="CA52" s="636"/>
      <c r="CB52" s="636"/>
      <c r="CC52" s="636"/>
      <c r="CD52" s="636"/>
      <c r="CE52" s="636"/>
      <c r="CF52" s="636"/>
      <c r="CG52" s="636"/>
      <c r="CH52" s="636"/>
      <c r="CI52" s="636"/>
      <c r="CJ52" s="636"/>
      <c r="CK52" s="636"/>
      <c r="CL52" s="636"/>
      <c r="CM52" s="636"/>
      <c r="CN52" s="636"/>
      <c r="CO52" s="636"/>
      <c r="CP52" s="636"/>
      <c r="CQ52" s="636"/>
      <c r="CR52" s="636"/>
      <c r="CS52" s="636"/>
      <c r="CT52" s="636"/>
      <c r="CU52" s="636"/>
      <c r="CV52" s="636"/>
      <c r="CW52" s="636"/>
      <c r="CX52" s="636"/>
      <c r="CY52" s="636"/>
      <c r="CZ52" s="636"/>
      <c r="DA52" s="636"/>
      <c r="DE52" s="180" t="s">
        <v>617</v>
      </c>
    </row>
    <row r="53" spans="1:109" ht="10.5" hidden="1" customHeight="1" x14ac:dyDescent="0.25"/>
    <row r="54" spans="1:109" ht="55.5" hidden="1" customHeight="1" x14ac:dyDescent="0.25">
      <c r="A54" s="520" t="s">
        <v>176</v>
      </c>
      <c r="B54" s="521"/>
      <c r="C54" s="521"/>
      <c r="D54" s="521"/>
      <c r="E54" s="521"/>
      <c r="F54" s="522"/>
      <c r="G54" s="520" t="s">
        <v>527</v>
      </c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1"/>
      <c r="AF54" s="521"/>
      <c r="AG54" s="521"/>
      <c r="AH54" s="521"/>
      <c r="AI54" s="521"/>
      <c r="AJ54" s="521"/>
      <c r="AK54" s="521"/>
      <c r="AL54" s="521"/>
      <c r="AM54" s="521"/>
      <c r="AN54" s="521"/>
      <c r="AO54" s="521"/>
      <c r="AP54" s="521"/>
      <c r="AQ54" s="521"/>
      <c r="AR54" s="521"/>
      <c r="AS54" s="521"/>
      <c r="AT54" s="521"/>
      <c r="AU54" s="521"/>
      <c r="AV54" s="521"/>
      <c r="AW54" s="521"/>
      <c r="AX54" s="521"/>
      <c r="AY54" s="521"/>
      <c r="AZ54" s="521"/>
      <c r="BA54" s="521"/>
      <c r="BB54" s="521"/>
      <c r="BC54" s="521"/>
      <c r="BD54" s="521"/>
      <c r="BE54" s="521"/>
      <c r="BF54" s="521"/>
      <c r="BG54" s="521"/>
      <c r="BH54" s="521"/>
      <c r="BI54" s="521"/>
      <c r="BJ54" s="521"/>
      <c r="BK54" s="521"/>
      <c r="BL54" s="521"/>
      <c r="BM54" s="521"/>
      <c r="BN54" s="521"/>
      <c r="BO54" s="521"/>
      <c r="BP54" s="521"/>
      <c r="BQ54" s="521"/>
      <c r="BR54" s="521"/>
      <c r="BS54" s="521"/>
      <c r="BT54" s="521"/>
      <c r="BU54" s="521"/>
      <c r="BV54" s="522"/>
      <c r="BW54" s="520" t="s">
        <v>528</v>
      </c>
      <c r="BX54" s="521"/>
      <c r="BY54" s="521"/>
      <c r="BZ54" s="521"/>
      <c r="CA54" s="521"/>
      <c r="CB54" s="521"/>
      <c r="CC54" s="521"/>
      <c r="CD54" s="521"/>
      <c r="CE54" s="521"/>
      <c r="CF54" s="521"/>
      <c r="CG54" s="521"/>
      <c r="CH54" s="521"/>
      <c r="CI54" s="521"/>
      <c r="CJ54" s="521"/>
      <c r="CK54" s="521"/>
      <c r="CL54" s="522"/>
      <c r="CM54" s="520" t="s">
        <v>529</v>
      </c>
      <c r="CN54" s="521"/>
      <c r="CO54" s="521"/>
      <c r="CP54" s="521"/>
      <c r="CQ54" s="521"/>
      <c r="CR54" s="521"/>
      <c r="CS54" s="521"/>
      <c r="CT54" s="521"/>
      <c r="CU54" s="521"/>
      <c r="CV54" s="521"/>
      <c r="CW54" s="521"/>
      <c r="CX54" s="521"/>
      <c r="CY54" s="521"/>
      <c r="CZ54" s="521"/>
      <c r="DA54" s="522"/>
      <c r="DE54" s="271" t="s">
        <v>618</v>
      </c>
    </row>
    <row r="55" spans="1:109" s="180" customFormat="1" ht="12.75" hidden="1" x14ac:dyDescent="0.2">
      <c r="A55" s="515">
        <v>1</v>
      </c>
      <c r="B55" s="515"/>
      <c r="C55" s="515"/>
      <c r="D55" s="515"/>
      <c r="E55" s="515"/>
      <c r="F55" s="515"/>
      <c r="G55" s="515">
        <v>2</v>
      </c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  <c r="AD55" s="515"/>
      <c r="AE55" s="515"/>
      <c r="AF55" s="515"/>
      <c r="AG55" s="515"/>
      <c r="AH55" s="515"/>
      <c r="AI55" s="515"/>
      <c r="AJ55" s="515"/>
      <c r="AK55" s="515"/>
      <c r="AL55" s="515"/>
      <c r="AM55" s="515"/>
      <c r="AN55" s="515"/>
      <c r="AO55" s="515"/>
      <c r="AP55" s="515"/>
      <c r="AQ55" s="515"/>
      <c r="AR55" s="515"/>
      <c r="AS55" s="515"/>
      <c r="AT55" s="515"/>
      <c r="AU55" s="515"/>
      <c r="AV55" s="515"/>
      <c r="AW55" s="515"/>
      <c r="AX55" s="515"/>
      <c r="AY55" s="515"/>
      <c r="AZ55" s="515"/>
      <c r="BA55" s="515"/>
      <c r="BB55" s="515"/>
      <c r="BC55" s="515"/>
      <c r="BD55" s="515"/>
      <c r="BE55" s="515"/>
      <c r="BF55" s="515"/>
      <c r="BG55" s="515"/>
      <c r="BH55" s="515"/>
      <c r="BI55" s="515"/>
      <c r="BJ55" s="515"/>
      <c r="BK55" s="515"/>
      <c r="BL55" s="515"/>
      <c r="BM55" s="515"/>
      <c r="BN55" s="515"/>
      <c r="BO55" s="515"/>
      <c r="BP55" s="515"/>
      <c r="BQ55" s="515"/>
      <c r="BR55" s="515"/>
      <c r="BS55" s="515"/>
      <c r="BT55" s="515"/>
      <c r="BU55" s="515"/>
      <c r="BV55" s="515"/>
      <c r="BW55" s="515">
        <v>3</v>
      </c>
      <c r="BX55" s="515"/>
      <c r="BY55" s="515"/>
      <c r="BZ55" s="515"/>
      <c r="CA55" s="515"/>
      <c r="CB55" s="515"/>
      <c r="CC55" s="515"/>
      <c r="CD55" s="515"/>
      <c r="CE55" s="515"/>
      <c r="CF55" s="515"/>
      <c r="CG55" s="515"/>
      <c r="CH55" s="515"/>
      <c r="CI55" s="515"/>
      <c r="CJ55" s="515"/>
      <c r="CK55" s="515"/>
      <c r="CL55" s="515"/>
      <c r="CM55" s="515">
        <v>4</v>
      </c>
      <c r="CN55" s="515"/>
      <c r="CO55" s="515"/>
      <c r="CP55" s="515"/>
      <c r="CQ55" s="515"/>
      <c r="CR55" s="515"/>
      <c r="CS55" s="515"/>
      <c r="CT55" s="515"/>
      <c r="CU55" s="515"/>
      <c r="CV55" s="515"/>
      <c r="CW55" s="515"/>
      <c r="CX55" s="515"/>
      <c r="CY55" s="515"/>
      <c r="CZ55" s="515"/>
      <c r="DA55" s="515"/>
    </row>
    <row r="56" spans="1:109" ht="15" hidden="1" customHeight="1" x14ac:dyDescent="0.25">
      <c r="A56" s="508" t="s">
        <v>513</v>
      </c>
      <c r="B56" s="508"/>
      <c r="C56" s="508"/>
      <c r="D56" s="508"/>
      <c r="E56" s="508"/>
      <c r="F56" s="508"/>
      <c r="G56" s="254"/>
      <c r="H56" s="524" t="s">
        <v>530</v>
      </c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24"/>
      <c r="AP56" s="524"/>
      <c r="AQ56" s="524"/>
      <c r="AR56" s="524"/>
      <c r="AS56" s="524"/>
      <c r="AT56" s="524"/>
      <c r="AU56" s="524"/>
      <c r="AV56" s="524"/>
      <c r="AW56" s="524"/>
      <c r="AX56" s="524"/>
      <c r="AY56" s="524"/>
      <c r="AZ56" s="524"/>
      <c r="BA56" s="524"/>
      <c r="BB56" s="524"/>
      <c r="BC56" s="524"/>
      <c r="BD56" s="524"/>
      <c r="BE56" s="524"/>
      <c r="BF56" s="524"/>
      <c r="BG56" s="524"/>
      <c r="BH56" s="524"/>
      <c r="BI56" s="524"/>
      <c r="BJ56" s="524"/>
      <c r="BK56" s="524"/>
      <c r="BL56" s="524"/>
      <c r="BM56" s="524"/>
      <c r="BN56" s="524"/>
      <c r="BO56" s="524"/>
      <c r="BP56" s="524"/>
      <c r="BQ56" s="524"/>
      <c r="BR56" s="524"/>
      <c r="BS56" s="524"/>
      <c r="BT56" s="524"/>
      <c r="BU56" s="524"/>
      <c r="BV56" s="525"/>
      <c r="BW56" s="510" t="s">
        <v>494</v>
      </c>
      <c r="BX56" s="510"/>
      <c r="BY56" s="510"/>
      <c r="BZ56" s="510"/>
      <c r="CA56" s="510"/>
      <c r="CB56" s="510"/>
      <c r="CC56" s="510"/>
      <c r="CD56" s="510"/>
      <c r="CE56" s="510"/>
      <c r="CF56" s="510"/>
      <c r="CG56" s="510"/>
      <c r="CH56" s="510"/>
      <c r="CI56" s="510"/>
      <c r="CJ56" s="510"/>
      <c r="CK56" s="510"/>
      <c r="CL56" s="510"/>
      <c r="CM56" s="510"/>
      <c r="CN56" s="510"/>
      <c r="CO56" s="510"/>
      <c r="CP56" s="510"/>
      <c r="CQ56" s="510"/>
      <c r="CR56" s="510"/>
      <c r="CS56" s="510"/>
      <c r="CT56" s="510"/>
      <c r="CU56" s="510"/>
      <c r="CV56" s="510"/>
      <c r="CW56" s="510"/>
      <c r="CX56" s="510"/>
      <c r="CY56" s="510"/>
      <c r="CZ56" s="510"/>
      <c r="DA56" s="510"/>
    </row>
    <row r="57" spans="1:109" s="180" customFormat="1" ht="12.75" hidden="1" x14ac:dyDescent="0.2">
      <c r="A57" s="544" t="s">
        <v>531</v>
      </c>
      <c r="B57" s="545"/>
      <c r="C57" s="545"/>
      <c r="D57" s="545"/>
      <c r="E57" s="545"/>
      <c r="F57" s="546"/>
      <c r="G57" s="255"/>
      <c r="H57" s="550" t="s">
        <v>237</v>
      </c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550"/>
      <c r="AN57" s="550"/>
      <c r="AO57" s="550"/>
      <c r="AP57" s="550"/>
      <c r="AQ57" s="550"/>
      <c r="AR57" s="550"/>
      <c r="AS57" s="550"/>
      <c r="AT57" s="550"/>
      <c r="AU57" s="550"/>
      <c r="AV57" s="550"/>
      <c r="AW57" s="550"/>
      <c r="AX57" s="550"/>
      <c r="AY57" s="550"/>
      <c r="AZ57" s="550"/>
      <c r="BA57" s="550"/>
      <c r="BB57" s="550"/>
      <c r="BC57" s="550"/>
      <c r="BD57" s="550"/>
      <c r="BE57" s="550"/>
      <c r="BF57" s="550"/>
      <c r="BG57" s="550"/>
      <c r="BH57" s="550"/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1"/>
      <c r="BW57" s="629">
        <v>0</v>
      </c>
      <c r="BX57" s="630"/>
      <c r="BY57" s="630"/>
      <c r="BZ57" s="630"/>
      <c r="CA57" s="630"/>
      <c r="CB57" s="630"/>
      <c r="CC57" s="630"/>
      <c r="CD57" s="630"/>
      <c r="CE57" s="630"/>
      <c r="CF57" s="630"/>
      <c r="CG57" s="630"/>
      <c r="CH57" s="630"/>
      <c r="CI57" s="630"/>
      <c r="CJ57" s="630"/>
      <c r="CK57" s="630"/>
      <c r="CL57" s="631"/>
      <c r="CM57" s="552">
        <f>BW57*22%</f>
        <v>0</v>
      </c>
      <c r="CN57" s="558"/>
      <c r="CO57" s="558"/>
      <c r="CP57" s="558"/>
      <c r="CQ57" s="558"/>
      <c r="CR57" s="558"/>
      <c r="CS57" s="558"/>
      <c r="CT57" s="558"/>
      <c r="CU57" s="558"/>
      <c r="CV57" s="558"/>
      <c r="CW57" s="558"/>
      <c r="CX57" s="558"/>
      <c r="CY57" s="558"/>
      <c r="CZ57" s="558"/>
      <c r="DA57" s="559"/>
    </row>
    <row r="58" spans="1:109" s="180" customFormat="1" ht="12.75" hidden="1" x14ac:dyDescent="0.2">
      <c r="A58" s="547"/>
      <c r="B58" s="548"/>
      <c r="C58" s="548"/>
      <c r="D58" s="548"/>
      <c r="E58" s="548"/>
      <c r="F58" s="549"/>
      <c r="G58" s="256"/>
      <c r="H58" s="563" t="s">
        <v>532</v>
      </c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/>
      <c r="AM58" s="563"/>
      <c r="AN58" s="563"/>
      <c r="AO58" s="563"/>
      <c r="AP58" s="563"/>
      <c r="AQ58" s="563"/>
      <c r="AR58" s="563"/>
      <c r="AS58" s="563"/>
      <c r="AT58" s="563"/>
      <c r="AU58" s="563"/>
      <c r="AV58" s="563"/>
      <c r="AW58" s="563"/>
      <c r="AX58" s="563"/>
      <c r="AY58" s="563"/>
      <c r="AZ58" s="563"/>
      <c r="BA58" s="563"/>
      <c r="BB58" s="563"/>
      <c r="BC58" s="563"/>
      <c r="BD58" s="563"/>
      <c r="BE58" s="563"/>
      <c r="BF58" s="563"/>
      <c r="BG58" s="563"/>
      <c r="BH58" s="563"/>
      <c r="BI58" s="563"/>
      <c r="BJ58" s="563"/>
      <c r="BK58" s="563"/>
      <c r="BL58" s="563"/>
      <c r="BM58" s="563"/>
      <c r="BN58" s="563"/>
      <c r="BO58" s="563"/>
      <c r="BP58" s="563"/>
      <c r="BQ58" s="563"/>
      <c r="BR58" s="563"/>
      <c r="BS58" s="563"/>
      <c r="BT58" s="563"/>
      <c r="BU58" s="563"/>
      <c r="BV58" s="564"/>
      <c r="BW58" s="632"/>
      <c r="BX58" s="633"/>
      <c r="BY58" s="633"/>
      <c r="BZ58" s="633"/>
      <c r="CA58" s="633"/>
      <c r="CB58" s="633"/>
      <c r="CC58" s="633"/>
      <c r="CD58" s="633"/>
      <c r="CE58" s="633"/>
      <c r="CF58" s="633"/>
      <c r="CG58" s="633"/>
      <c r="CH58" s="633"/>
      <c r="CI58" s="633"/>
      <c r="CJ58" s="633"/>
      <c r="CK58" s="633"/>
      <c r="CL58" s="634"/>
      <c r="CM58" s="560"/>
      <c r="CN58" s="561"/>
      <c r="CO58" s="561"/>
      <c r="CP58" s="561"/>
      <c r="CQ58" s="561"/>
      <c r="CR58" s="561"/>
      <c r="CS58" s="561"/>
      <c r="CT58" s="561"/>
      <c r="CU58" s="561"/>
      <c r="CV58" s="561"/>
      <c r="CW58" s="561"/>
      <c r="CX58" s="561"/>
      <c r="CY58" s="561"/>
      <c r="CZ58" s="561"/>
      <c r="DA58" s="562"/>
      <c r="DE58" s="180">
        <v>211</v>
      </c>
    </row>
    <row r="59" spans="1:109" s="180" customFormat="1" ht="13.5" hidden="1" customHeight="1" x14ac:dyDescent="0.2">
      <c r="A59" s="508" t="s">
        <v>533</v>
      </c>
      <c r="B59" s="508"/>
      <c r="C59" s="508"/>
      <c r="D59" s="508"/>
      <c r="E59" s="508"/>
      <c r="F59" s="508"/>
      <c r="G59" s="254"/>
      <c r="H59" s="542" t="s">
        <v>534</v>
      </c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42"/>
      <c r="AE59" s="542"/>
      <c r="AF59" s="542"/>
      <c r="AG59" s="542"/>
      <c r="AH59" s="542"/>
      <c r="AI59" s="542"/>
      <c r="AJ59" s="542"/>
      <c r="AK59" s="542"/>
      <c r="AL59" s="542"/>
      <c r="AM59" s="542"/>
      <c r="AN59" s="542"/>
      <c r="AO59" s="542"/>
      <c r="AP59" s="542"/>
      <c r="AQ59" s="542"/>
      <c r="AR59" s="542"/>
      <c r="AS59" s="542"/>
      <c r="AT59" s="542"/>
      <c r="AU59" s="542"/>
      <c r="AV59" s="542"/>
      <c r="AW59" s="542"/>
      <c r="AX59" s="542"/>
      <c r="AY59" s="542"/>
      <c r="AZ59" s="542"/>
      <c r="BA59" s="542"/>
      <c r="BB59" s="542"/>
      <c r="BC59" s="542"/>
      <c r="BD59" s="542"/>
      <c r="BE59" s="542"/>
      <c r="BF59" s="542"/>
      <c r="BG59" s="542"/>
      <c r="BH59" s="542"/>
      <c r="BI59" s="542"/>
      <c r="BJ59" s="542"/>
      <c r="BK59" s="542"/>
      <c r="BL59" s="542"/>
      <c r="BM59" s="542"/>
      <c r="BN59" s="542"/>
      <c r="BO59" s="542"/>
      <c r="BP59" s="542"/>
      <c r="BQ59" s="542"/>
      <c r="BR59" s="542"/>
      <c r="BS59" s="542"/>
      <c r="BT59" s="542"/>
      <c r="BU59" s="542"/>
      <c r="BV59" s="543"/>
      <c r="BW59" s="510"/>
      <c r="BX59" s="510"/>
      <c r="BY59" s="510"/>
      <c r="BZ59" s="510"/>
      <c r="CA59" s="510"/>
      <c r="CB59" s="510"/>
      <c r="CC59" s="510"/>
      <c r="CD59" s="510"/>
      <c r="CE59" s="510"/>
      <c r="CF59" s="510"/>
      <c r="CG59" s="510"/>
      <c r="CH59" s="510"/>
      <c r="CI59" s="510"/>
      <c r="CJ59" s="510"/>
      <c r="CK59" s="510"/>
      <c r="CL59" s="510"/>
      <c r="CM59" s="510"/>
      <c r="CN59" s="510"/>
      <c r="CO59" s="510"/>
      <c r="CP59" s="510"/>
      <c r="CQ59" s="510"/>
      <c r="CR59" s="510"/>
      <c r="CS59" s="510"/>
      <c r="CT59" s="510"/>
      <c r="CU59" s="510"/>
      <c r="CV59" s="510"/>
      <c r="CW59" s="510"/>
      <c r="CX59" s="510"/>
      <c r="CY59" s="510"/>
      <c r="CZ59" s="510"/>
      <c r="DA59" s="510"/>
    </row>
    <row r="60" spans="1:109" s="180" customFormat="1" ht="26.25" hidden="1" customHeight="1" x14ac:dyDescent="0.2">
      <c r="A60" s="508" t="s">
        <v>535</v>
      </c>
      <c r="B60" s="508"/>
      <c r="C60" s="508"/>
      <c r="D60" s="508"/>
      <c r="E60" s="508"/>
      <c r="F60" s="508"/>
      <c r="G60" s="254"/>
      <c r="H60" s="542" t="s">
        <v>536</v>
      </c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2"/>
      <c r="AF60" s="542"/>
      <c r="AG60" s="542"/>
      <c r="AH60" s="542"/>
      <c r="AI60" s="542"/>
      <c r="AJ60" s="542"/>
      <c r="AK60" s="542"/>
      <c r="AL60" s="542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2"/>
      <c r="AZ60" s="542"/>
      <c r="BA60" s="542"/>
      <c r="BB60" s="542"/>
      <c r="BC60" s="542"/>
      <c r="BD60" s="542"/>
      <c r="BE60" s="542"/>
      <c r="BF60" s="542"/>
      <c r="BG60" s="542"/>
      <c r="BH60" s="542"/>
      <c r="BI60" s="542"/>
      <c r="BJ60" s="542"/>
      <c r="BK60" s="542"/>
      <c r="BL60" s="542"/>
      <c r="BM60" s="542"/>
      <c r="BN60" s="542"/>
      <c r="BO60" s="542"/>
      <c r="BP60" s="542"/>
      <c r="BQ60" s="542"/>
      <c r="BR60" s="542"/>
      <c r="BS60" s="542"/>
      <c r="BT60" s="542"/>
      <c r="BU60" s="542"/>
      <c r="BV60" s="543"/>
      <c r="BW60" s="510"/>
      <c r="BX60" s="510"/>
      <c r="BY60" s="510"/>
      <c r="BZ60" s="510"/>
      <c r="CA60" s="510"/>
      <c r="CB60" s="510"/>
      <c r="CC60" s="510"/>
      <c r="CD60" s="510"/>
      <c r="CE60" s="510"/>
      <c r="CF60" s="510"/>
      <c r="CG60" s="510"/>
      <c r="CH60" s="510"/>
      <c r="CI60" s="510"/>
      <c r="CJ60" s="510"/>
      <c r="CK60" s="510"/>
      <c r="CL60" s="510"/>
      <c r="CM60" s="510"/>
      <c r="CN60" s="510"/>
      <c r="CO60" s="510"/>
      <c r="CP60" s="510"/>
      <c r="CQ60" s="510"/>
      <c r="CR60" s="510"/>
      <c r="CS60" s="510"/>
      <c r="CT60" s="510"/>
      <c r="CU60" s="510"/>
      <c r="CV60" s="510"/>
      <c r="CW60" s="510"/>
      <c r="CX60" s="510"/>
      <c r="CY60" s="510"/>
      <c r="CZ60" s="510"/>
      <c r="DA60" s="510"/>
      <c r="DE60" s="260">
        <f>ROUND((76200*100/130.2),-2)</f>
        <v>58500</v>
      </c>
    </row>
    <row r="61" spans="1:109" s="180" customFormat="1" ht="26.25" hidden="1" customHeight="1" x14ac:dyDescent="0.2">
      <c r="A61" s="508" t="s">
        <v>515</v>
      </c>
      <c r="B61" s="508"/>
      <c r="C61" s="508"/>
      <c r="D61" s="508"/>
      <c r="E61" s="508"/>
      <c r="F61" s="508"/>
      <c r="G61" s="254"/>
      <c r="H61" s="524" t="s">
        <v>537</v>
      </c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  <c r="AP61" s="524"/>
      <c r="AQ61" s="524"/>
      <c r="AR61" s="524"/>
      <c r="AS61" s="524"/>
      <c r="AT61" s="524"/>
      <c r="AU61" s="524"/>
      <c r="AV61" s="524"/>
      <c r="AW61" s="524"/>
      <c r="AX61" s="524"/>
      <c r="AY61" s="524"/>
      <c r="AZ61" s="524"/>
      <c r="BA61" s="524"/>
      <c r="BB61" s="524"/>
      <c r="BC61" s="524"/>
      <c r="BD61" s="524"/>
      <c r="BE61" s="524"/>
      <c r="BF61" s="524"/>
      <c r="BG61" s="524"/>
      <c r="BH61" s="524"/>
      <c r="BI61" s="524"/>
      <c r="BJ61" s="524"/>
      <c r="BK61" s="524"/>
      <c r="BL61" s="524"/>
      <c r="BM61" s="524"/>
      <c r="BN61" s="524"/>
      <c r="BO61" s="524"/>
      <c r="BP61" s="524"/>
      <c r="BQ61" s="524"/>
      <c r="BR61" s="524"/>
      <c r="BS61" s="524"/>
      <c r="BT61" s="524"/>
      <c r="BU61" s="524"/>
      <c r="BV61" s="525"/>
      <c r="BW61" s="510" t="s">
        <v>494</v>
      </c>
      <c r="BX61" s="510"/>
      <c r="BY61" s="510"/>
      <c r="BZ61" s="510"/>
      <c r="CA61" s="510"/>
      <c r="CB61" s="510"/>
      <c r="CC61" s="510"/>
      <c r="CD61" s="510"/>
      <c r="CE61" s="510"/>
      <c r="CF61" s="510"/>
      <c r="CG61" s="510"/>
      <c r="CH61" s="510"/>
      <c r="CI61" s="510"/>
      <c r="CJ61" s="510"/>
      <c r="CK61" s="510"/>
      <c r="CL61" s="510"/>
      <c r="CM61" s="510"/>
      <c r="CN61" s="510"/>
      <c r="CO61" s="510"/>
      <c r="CP61" s="510"/>
      <c r="CQ61" s="510"/>
      <c r="CR61" s="510"/>
      <c r="CS61" s="510"/>
      <c r="CT61" s="510"/>
      <c r="CU61" s="510"/>
      <c r="CV61" s="510"/>
      <c r="CW61" s="510"/>
      <c r="CX61" s="510"/>
      <c r="CY61" s="510"/>
      <c r="CZ61" s="510"/>
      <c r="DA61" s="510"/>
    </row>
    <row r="62" spans="1:109" s="180" customFormat="1" ht="12.75" hidden="1" x14ac:dyDescent="0.2">
      <c r="A62" s="544" t="s">
        <v>538</v>
      </c>
      <c r="B62" s="545"/>
      <c r="C62" s="545"/>
      <c r="D62" s="545"/>
      <c r="E62" s="545"/>
      <c r="F62" s="546"/>
      <c r="G62" s="255"/>
      <c r="H62" s="550" t="s">
        <v>237</v>
      </c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550"/>
      <c r="AO62" s="550"/>
      <c r="AP62" s="550"/>
      <c r="AQ62" s="550"/>
      <c r="AR62" s="550"/>
      <c r="AS62" s="550"/>
      <c r="AT62" s="550"/>
      <c r="AU62" s="550"/>
      <c r="AV62" s="550"/>
      <c r="AW62" s="550"/>
      <c r="AX62" s="550"/>
      <c r="AY62" s="550"/>
      <c r="AZ62" s="550"/>
      <c r="BA62" s="550"/>
      <c r="BB62" s="550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1"/>
      <c r="BW62" s="552">
        <f>BW57</f>
        <v>0</v>
      </c>
      <c r="BX62" s="553"/>
      <c r="BY62" s="553"/>
      <c r="BZ62" s="553"/>
      <c r="CA62" s="553"/>
      <c r="CB62" s="553"/>
      <c r="CC62" s="553"/>
      <c r="CD62" s="553"/>
      <c r="CE62" s="553"/>
      <c r="CF62" s="553"/>
      <c r="CG62" s="553"/>
      <c r="CH62" s="553"/>
      <c r="CI62" s="553"/>
      <c r="CJ62" s="553"/>
      <c r="CK62" s="553"/>
      <c r="CL62" s="554"/>
      <c r="CM62" s="552">
        <f>BW62*2.9%</f>
        <v>0</v>
      </c>
      <c r="CN62" s="558"/>
      <c r="CO62" s="558"/>
      <c r="CP62" s="558"/>
      <c r="CQ62" s="558"/>
      <c r="CR62" s="558"/>
      <c r="CS62" s="558"/>
      <c r="CT62" s="558"/>
      <c r="CU62" s="558"/>
      <c r="CV62" s="558"/>
      <c r="CW62" s="558"/>
      <c r="CX62" s="558"/>
      <c r="CY62" s="558"/>
      <c r="CZ62" s="558"/>
      <c r="DA62" s="559"/>
    </row>
    <row r="63" spans="1:109" s="180" customFormat="1" ht="25.5" hidden="1" customHeight="1" x14ac:dyDescent="0.2">
      <c r="A63" s="547"/>
      <c r="B63" s="548"/>
      <c r="C63" s="548"/>
      <c r="D63" s="548"/>
      <c r="E63" s="548"/>
      <c r="F63" s="549"/>
      <c r="G63" s="256"/>
      <c r="H63" s="563" t="s">
        <v>539</v>
      </c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3"/>
      <c r="AS63" s="563"/>
      <c r="AT63" s="563"/>
      <c r="AU63" s="563"/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3"/>
      <c r="BG63" s="563"/>
      <c r="BH63" s="563"/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63"/>
      <c r="BT63" s="563"/>
      <c r="BU63" s="563"/>
      <c r="BV63" s="564"/>
      <c r="BW63" s="555"/>
      <c r="BX63" s="556"/>
      <c r="BY63" s="556"/>
      <c r="BZ63" s="556"/>
      <c r="CA63" s="556"/>
      <c r="CB63" s="556"/>
      <c r="CC63" s="556"/>
      <c r="CD63" s="556"/>
      <c r="CE63" s="556"/>
      <c r="CF63" s="556"/>
      <c r="CG63" s="556"/>
      <c r="CH63" s="556"/>
      <c r="CI63" s="556"/>
      <c r="CJ63" s="556"/>
      <c r="CK63" s="556"/>
      <c r="CL63" s="557"/>
      <c r="CM63" s="560"/>
      <c r="CN63" s="561"/>
      <c r="CO63" s="561"/>
      <c r="CP63" s="561"/>
      <c r="CQ63" s="561"/>
      <c r="CR63" s="561"/>
      <c r="CS63" s="561"/>
      <c r="CT63" s="561"/>
      <c r="CU63" s="561"/>
      <c r="CV63" s="561"/>
      <c r="CW63" s="561"/>
      <c r="CX63" s="561"/>
      <c r="CY63" s="561"/>
      <c r="CZ63" s="561"/>
      <c r="DA63" s="562"/>
      <c r="DE63" s="260">
        <f>BW57+CM69</f>
        <v>0</v>
      </c>
    </row>
    <row r="64" spans="1:109" s="180" customFormat="1" ht="26.25" hidden="1" customHeight="1" x14ac:dyDescent="0.2">
      <c r="A64" s="508" t="s">
        <v>540</v>
      </c>
      <c r="B64" s="508"/>
      <c r="C64" s="508"/>
      <c r="D64" s="508"/>
      <c r="E64" s="508"/>
      <c r="F64" s="508"/>
      <c r="G64" s="254"/>
      <c r="H64" s="542" t="s">
        <v>541</v>
      </c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42"/>
      <c r="AU64" s="542"/>
      <c r="AV64" s="542"/>
      <c r="AW64" s="542"/>
      <c r="AX64" s="542"/>
      <c r="AY64" s="542"/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542"/>
      <c r="BM64" s="542"/>
      <c r="BN64" s="542"/>
      <c r="BO64" s="542"/>
      <c r="BP64" s="542"/>
      <c r="BQ64" s="542"/>
      <c r="BR64" s="542"/>
      <c r="BS64" s="542"/>
      <c r="BT64" s="542"/>
      <c r="BU64" s="542"/>
      <c r="BV64" s="543"/>
      <c r="BW64" s="510"/>
      <c r="BX64" s="510"/>
      <c r="BY64" s="510"/>
      <c r="BZ64" s="510"/>
      <c r="CA64" s="510"/>
      <c r="CB64" s="510"/>
      <c r="CC64" s="510"/>
      <c r="CD64" s="510"/>
      <c r="CE64" s="510"/>
      <c r="CF64" s="510"/>
      <c r="CG64" s="510"/>
      <c r="CH64" s="510"/>
      <c r="CI64" s="510"/>
      <c r="CJ64" s="510"/>
      <c r="CK64" s="510"/>
      <c r="CL64" s="510"/>
      <c r="CM64" s="510"/>
      <c r="CN64" s="510"/>
      <c r="CO64" s="510"/>
      <c r="CP64" s="510"/>
      <c r="CQ64" s="510"/>
      <c r="CR64" s="510"/>
      <c r="CS64" s="510"/>
      <c r="CT64" s="510"/>
      <c r="CU64" s="510"/>
      <c r="CV64" s="510"/>
      <c r="CW64" s="510"/>
      <c r="CX64" s="510"/>
      <c r="CY64" s="510"/>
      <c r="CZ64" s="510"/>
      <c r="DA64" s="510"/>
    </row>
    <row r="65" spans="1:109" s="180" customFormat="1" ht="27" hidden="1" customHeight="1" x14ac:dyDescent="0.2">
      <c r="A65" s="508" t="s">
        <v>542</v>
      </c>
      <c r="B65" s="508"/>
      <c r="C65" s="508"/>
      <c r="D65" s="508"/>
      <c r="E65" s="508"/>
      <c r="F65" s="508"/>
      <c r="G65" s="254"/>
      <c r="H65" s="542" t="s">
        <v>543</v>
      </c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542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542"/>
      <c r="BM65" s="542"/>
      <c r="BN65" s="542"/>
      <c r="BO65" s="542"/>
      <c r="BP65" s="542"/>
      <c r="BQ65" s="542"/>
      <c r="BR65" s="542"/>
      <c r="BS65" s="542"/>
      <c r="BT65" s="542"/>
      <c r="BU65" s="542"/>
      <c r="BV65" s="543"/>
      <c r="BW65" s="511">
        <f>BW57</f>
        <v>0</v>
      </c>
      <c r="BX65" s="510"/>
      <c r="BY65" s="510"/>
      <c r="BZ65" s="510"/>
      <c r="CA65" s="510"/>
      <c r="CB65" s="510"/>
      <c r="CC65" s="510"/>
      <c r="CD65" s="510"/>
      <c r="CE65" s="510"/>
      <c r="CF65" s="510"/>
      <c r="CG65" s="510"/>
      <c r="CH65" s="510"/>
      <c r="CI65" s="510"/>
      <c r="CJ65" s="510"/>
      <c r="CK65" s="510"/>
      <c r="CL65" s="510"/>
      <c r="CM65" s="511">
        <f>BW65*0.2%</f>
        <v>0</v>
      </c>
      <c r="CN65" s="511"/>
      <c r="CO65" s="511"/>
      <c r="CP65" s="511"/>
      <c r="CQ65" s="511"/>
      <c r="CR65" s="511"/>
      <c r="CS65" s="511"/>
      <c r="CT65" s="511"/>
      <c r="CU65" s="511"/>
      <c r="CV65" s="511"/>
      <c r="CW65" s="511"/>
      <c r="CX65" s="511"/>
      <c r="CY65" s="511"/>
      <c r="CZ65" s="511"/>
      <c r="DA65" s="511"/>
    </row>
    <row r="66" spans="1:109" s="180" customFormat="1" ht="27" hidden="1" customHeight="1" x14ac:dyDescent="0.2">
      <c r="A66" s="508" t="s">
        <v>544</v>
      </c>
      <c r="B66" s="508"/>
      <c r="C66" s="508"/>
      <c r="D66" s="508"/>
      <c r="E66" s="508"/>
      <c r="F66" s="508"/>
      <c r="G66" s="254"/>
      <c r="H66" s="542" t="s">
        <v>545</v>
      </c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2"/>
      <c r="AF66" s="542"/>
      <c r="AG66" s="542"/>
      <c r="AH66" s="542"/>
      <c r="AI66" s="542"/>
      <c r="AJ66" s="542"/>
      <c r="AK66" s="542"/>
      <c r="AL66" s="542"/>
      <c r="AM66" s="542"/>
      <c r="AN66" s="542"/>
      <c r="AO66" s="542"/>
      <c r="AP66" s="542"/>
      <c r="AQ66" s="542"/>
      <c r="AR66" s="542"/>
      <c r="AS66" s="542"/>
      <c r="AT66" s="542"/>
      <c r="AU66" s="542"/>
      <c r="AV66" s="542"/>
      <c r="AW66" s="542"/>
      <c r="AX66" s="542"/>
      <c r="AY66" s="542"/>
      <c r="AZ66" s="542"/>
      <c r="BA66" s="542"/>
      <c r="BB66" s="542"/>
      <c r="BC66" s="542"/>
      <c r="BD66" s="542"/>
      <c r="BE66" s="542"/>
      <c r="BF66" s="542"/>
      <c r="BG66" s="542"/>
      <c r="BH66" s="542"/>
      <c r="BI66" s="542"/>
      <c r="BJ66" s="542"/>
      <c r="BK66" s="542"/>
      <c r="BL66" s="542"/>
      <c r="BM66" s="542"/>
      <c r="BN66" s="542"/>
      <c r="BO66" s="542"/>
      <c r="BP66" s="542"/>
      <c r="BQ66" s="542"/>
      <c r="BR66" s="542"/>
      <c r="BS66" s="542"/>
      <c r="BT66" s="542"/>
      <c r="BU66" s="542"/>
      <c r="BV66" s="543"/>
      <c r="BW66" s="510"/>
      <c r="BX66" s="510"/>
      <c r="BY66" s="510"/>
      <c r="BZ66" s="510"/>
      <c r="CA66" s="510"/>
      <c r="CB66" s="510"/>
      <c r="CC66" s="510"/>
      <c r="CD66" s="510"/>
      <c r="CE66" s="510"/>
      <c r="CF66" s="510"/>
      <c r="CG66" s="510"/>
      <c r="CH66" s="510"/>
      <c r="CI66" s="510"/>
      <c r="CJ66" s="510"/>
      <c r="CK66" s="510"/>
      <c r="CL66" s="510"/>
      <c r="CM66" s="510"/>
      <c r="CN66" s="510"/>
      <c r="CO66" s="510"/>
      <c r="CP66" s="510"/>
      <c r="CQ66" s="510"/>
      <c r="CR66" s="510"/>
      <c r="CS66" s="510"/>
      <c r="CT66" s="510"/>
      <c r="CU66" s="510"/>
      <c r="CV66" s="510"/>
      <c r="CW66" s="510"/>
      <c r="CX66" s="510"/>
      <c r="CY66" s="510"/>
      <c r="CZ66" s="510"/>
      <c r="DA66" s="510"/>
    </row>
    <row r="67" spans="1:109" s="180" customFormat="1" ht="27" hidden="1" customHeight="1" x14ac:dyDescent="0.2">
      <c r="A67" s="508" t="s">
        <v>546</v>
      </c>
      <c r="B67" s="508"/>
      <c r="C67" s="508"/>
      <c r="D67" s="508"/>
      <c r="E67" s="508"/>
      <c r="F67" s="508"/>
      <c r="G67" s="254"/>
      <c r="H67" s="542" t="s">
        <v>545</v>
      </c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542"/>
      <c r="AL67" s="542"/>
      <c r="AM67" s="542"/>
      <c r="AN67" s="542"/>
      <c r="AO67" s="542"/>
      <c r="AP67" s="542"/>
      <c r="AQ67" s="542"/>
      <c r="AR67" s="542"/>
      <c r="AS67" s="542"/>
      <c r="AT67" s="542"/>
      <c r="AU67" s="542"/>
      <c r="AV67" s="542"/>
      <c r="AW67" s="542"/>
      <c r="AX67" s="542"/>
      <c r="AY67" s="542"/>
      <c r="AZ67" s="542"/>
      <c r="BA67" s="542"/>
      <c r="BB67" s="542"/>
      <c r="BC67" s="542"/>
      <c r="BD67" s="542"/>
      <c r="BE67" s="542"/>
      <c r="BF67" s="542"/>
      <c r="BG67" s="542"/>
      <c r="BH67" s="542"/>
      <c r="BI67" s="542"/>
      <c r="BJ67" s="542"/>
      <c r="BK67" s="542"/>
      <c r="BL67" s="542"/>
      <c r="BM67" s="542"/>
      <c r="BN67" s="542"/>
      <c r="BO67" s="542"/>
      <c r="BP67" s="542"/>
      <c r="BQ67" s="542"/>
      <c r="BR67" s="542"/>
      <c r="BS67" s="542"/>
      <c r="BT67" s="542"/>
      <c r="BU67" s="542"/>
      <c r="BV67" s="543"/>
      <c r="BW67" s="510"/>
      <c r="BX67" s="510"/>
      <c r="BY67" s="510"/>
      <c r="BZ67" s="510"/>
      <c r="CA67" s="510"/>
      <c r="CB67" s="510"/>
      <c r="CC67" s="510"/>
      <c r="CD67" s="510"/>
      <c r="CE67" s="510"/>
      <c r="CF67" s="510"/>
      <c r="CG67" s="510"/>
      <c r="CH67" s="510"/>
      <c r="CI67" s="510"/>
      <c r="CJ67" s="510"/>
      <c r="CK67" s="510"/>
      <c r="CL67" s="510"/>
      <c r="CM67" s="510"/>
      <c r="CN67" s="510"/>
      <c r="CO67" s="510"/>
      <c r="CP67" s="510"/>
      <c r="CQ67" s="510"/>
      <c r="CR67" s="510"/>
      <c r="CS67" s="510"/>
      <c r="CT67" s="510"/>
      <c r="CU67" s="510"/>
      <c r="CV67" s="510"/>
      <c r="CW67" s="510"/>
      <c r="CX67" s="510"/>
      <c r="CY67" s="510"/>
      <c r="CZ67" s="510"/>
      <c r="DA67" s="510"/>
    </row>
    <row r="68" spans="1:109" s="180" customFormat="1" ht="26.25" hidden="1" customHeight="1" x14ac:dyDescent="0.2">
      <c r="A68" s="508" t="s">
        <v>517</v>
      </c>
      <c r="B68" s="508"/>
      <c r="C68" s="508"/>
      <c r="D68" s="508"/>
      <c r="E68" s="508"/>
      <c r="F68" s="508"/>
      <c r="G68" s="254"/>
      <c r="H68" s="524" t="s">
        <v>547</v>
      </c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4"/>
      <c r="AM68" s="524"/>
      <c r="AN68" s="524"/>
      <c r="AO68" s="524"/>
      <c r="AP68" s="524"/>
      <c r="AQ68" s="524"/>
      <c r="AR68" s="524"/>
      <c r="AS68" s="524"/>
      <c r="AT68" s="524"/>
      <c r="AU68" s="524"/>
      <c r="AV68" s="524"/>
      <c r="AW68" s="524"/>
      <c r="AX68" s="524"/>
      <c r="AY68" s="524"/>
      <c r="AZ68" s="524"/>
      <c r="BA68" s="524"/>
      <c r="BB68" s="524"/>
      <c r="BC68" s="524"/>
      <c r="BD68" s="524"/>
      <c r="BE68" s="524"/>
      <c r="BF68" s="524"/>
      <c r="BG68" s="524"/>
      <c r="BH68" s="524"/>
      <c r="BI68" s="524"/>
      <c r="BJ68" s="524"/>
      <c r="BK68" s="524"/>
      <c r="BL68" s="524"/>
      <c r="BM68" s="524"/>
      <c r="BN68" s="524"/>
      <c r="BO68" s="524"/>
      <c r="BP68" s="524"/>
      <c r="BQ68" s="524"/>
      <c r="BR68" s="524"/>
      <c r="BS68" s="524"/>
      <c r="BT68" s="524"/>
      <c r="BU68" s="524"/>
      <c r="BV68" s="525"/>
      <c r="BW68" s="511">
        <f>BW65</f>
        <v>0</v>
      </c>
      <c r="BX68" s="510"/>
      <c r="BY68" s="510"/>
      <c r="BZ68" s="510"/>
      <c r="CA68" s="510"/>
      <c r="CB68" s="510"/>
      <c r="CC68" s="510"/>
      <c r="CD68" s="510"/>
      <c r="CE68" s="510"/>
      <c r="CF68" s="510"/>
      <c r="CG68" s="510"/>
      <c r="CH68" s="510"/>
      <c r="CI68" s="510"/>
      <c r="CJ68" s="510"/>
      <c r="CK68" s="510"/>
      <c r="CL68" s="510"/>
      <c r="CM68" s="511">
        <f>BW68*5.1%</f>
        <v>0</v>
      </c>
      <c r="CN68" s="511"/>
      <c r="CO68" s="511"/>
      <c r="CP68" s="511"/>
      <c r="CQ68" s="511"/>
      <c r="CR68" s="511"/>
      <c r="CS68" s="511"/>
      <c r="CT68" s="511"/>
      <c r="CU68" s="511"/>
      <c r="CV68" s="511"/>
      <c r="CW68" s="511"/>
      <c r="CX68" s="511"/>
      <c r="CY68" s="511"/>
      <c r="CZ68" s="511"/>
      <c r="DA68" s="511"/>
    </row>
    <row r="69" spans="1:109" s="180" customFormat="1" ht="13.5" hidden="1" customHeight="1" x14ac:dyDescent="0.2">
      <c r="A69" s="508"/>
      <c r="B69" s="508"/>
      <c r="C69" s="508"/>
      <c r="D69" s="508"/>
      <c r="E69" s="508"/>
      <c r="F69" s="508"/>
      <c r="G69" s="539" t="s">
        <v>521</v>
      </c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  <c r="AA69" s="512"/>
      <c r="AB69" s="512"/>
      <c r="AC69" s="512"/>
      <c r="AD69" s="512"/>
      <c r="AE69" s="512"/>
      <c r="AF69" s="512"/>
      <c r="AG69" s="512"/>
      <c r="AH69" s="512"/>
      <c r="AI69" s="512"/>
      <c r="AJ69" s="512"/>
      <c r="AK69" s="512"/>
      <c r="AL69" s="512"/>
      <c r="AM69" s="512"/>
      <c r="AN69" s="512"/>
      <c r="AO69" s="512"/>
      <c r="AP69" s="512"/>
      <c r="AQ69" s="512"/>
      <c r="AR69" s="512"/>
      <c r="AS69" s="512"/>
      <c r="AT69" s="512"/>
      <c r="AU69" s="512"/>
      <c r="AV69" s="512"/>
      <c r="AW69" s="512"/>
      <c r="AX69" s="512"/>
      <c r="AY69" s="512"/>
      <c r="AZ69" s="512"/>
      <c r="BA69" s="512"/>
      <c r="BB69" s="512"/>
      <c r="BC69" s="512"/>
      <c r="BD69" s="512"/>
      <c r="BE69" s="512"/>
      <c r="BF69" s="512"/>
      <c r="BG69" s="512"/>
      <c r="BH69" s="512"/>
      <c r="BI69" s="512"/>
      <c r="BJ69" s="512"/>
      <c r="BK69" s="512"/>
      <c r="BL69" s="512"/>
      <c r="BM69" s="512"/>
      <c r="BN69" s="512"/>
      <c r="BO69" s="512"/>
      <c r="BP69" s="512"/>
      <c r="BQ69" s="512"/>
      <c r="BR69" s="512"/>
      <c r="BS69" s="512"/>
      <c r="BT69" s="512"/>
      <c r="BU69" s="512"/>
      <c r="BV69" s="513"/>
      <c r="BW69" s="510" t="s">
        <v>494</v>
      </c>
      <c r="BX69" s="510"/>
      <c r="BY69" s="510"/>
      <c r="BZ69" s="510"/>
      <c r="CA69" s="510"/>
      <c r="CB69" s="510"/>
      <c r="CC69" s="510"/>
      <c r="CD69" s="510"/>
      <c r="CE69" s="510"/>
      <c r="CF69" s="510"/>
      <c r="CG69" s="510"/>
      <c r="CH69" s="510"/>
      <c r="CI69" s="510"/>
      <c r="CJ69" s="510"/>
      <c r="CK69" s="510"/>
      <c r="CL69" s="510"/>
      <c r="CM69" s="514">
        <f>SUM(CM57:DA68)</f>
        <v>0</v>
      </c>
      <c r="CN69" s="526"/>
      <c r="CO69" s="526"/>
      <c r="CP69" s="526"/>
      <c r="CQ69" s="526"/>
      <c r="CR69" s="526"/>
      <c r="CS69" s="526"/>
      <c r="CT69" s="526"/>
      <c r="CU69" s="526"/>
      <c r="CV69" s="526"/>
      <c r="CW69" s="526"/>
      <c r="CX69" s="526"/>
      <c r="CY69" s="526"/>
      <c r="CZ69" s="526"/>
      <c r="DA69" s="526"/>
      <c r="DE69" s="180">
        <v>213</v>
      </c>
    </row>
    <row r="70" spans="1:109" s="248" customFormat="1" ht="64.5" hidden="1" customHeight="1" x14ac:dyDescent="0.2">
      <c r="A70" s="635" t="s">
        <v>619</v>
      </c>
      <c r="B70" s="635"/>
      <c r="C70" s="635"/>
      <c r="D70" s="635"/>
      <c r="E70" s="635"/>
      <c r="F70" s="635"/>
      <c r="G70" s="635"/>
      <c r="H70" s="635"/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5"/>
      <c r="T70" s="635"/>
      <c r="U70" s="635"/>
      <c r="V70" s="635"/>
      <c r="W70" s="635"/>
      <c r="X70" s="635"/>
      <c r="Y70" s="635"/>
      <c r="Z70" s="635"/>
      <c r="AA70" s="635"/>
      <c r="AB70" s="635"/>
      <c r="AC70" s="635"/>
      <c r="AD70" s="635"/>
      <c r="AE70" s="635"/>
      <c r="AF70" s="635"/>
      <c r="AG70" s="635"/>
      <c r="AH70" s="635"/>
      <c r="AI70" s="635"/>
      <c r="AJ70" s="635"/>
      <c r="AK70" s="635"/>
      <c r="AL70" s="635"/>
      <c r="AM70" s="635"/>
      <c r="AN70" s="635"/>
      <c r="AO70" s="635"/>
      <c r="AP70" s="635"/>
      <c r="AQ70" s="635"/>
      <c r="AR70" s="635"/>
      <c r="AS70" s="635"/>
      <c r="AT70" s="635"/>
      <c r="AU70" s="635"/>
      <c r="AV70" s="635"/>
      <c r="AW70" s="635"/>
      <c r="AX70" s="635"/>
      <c r="AY70" s="635"/>
      <c r="AZ70" s="635"/>
      <c r="BA70" s="635"/>
      <c r="BB70" s="635"/>
      <c r="BC70" s="635"/>
      <c r="BD70" s="635"/>
      <c r="BE70" s="635"/>
      <c r="BF70" s="635"/>
      <c r="BG70" s="635"/>
      <c r="BH70" s="635"/>
      <c r="BI70" s="635"/>
      <c r="BJ70" s="635"/>
      <c r="BK70" s="635"/>
      <c r="BL70" s="635"/>
      <c r="BM70" s="635"/>
      <c r="BN70" s="635"/>
      <c r="BO70" s="635"/>
      <c r="BP70" s="635"/>
      <c r="BQ70" s="635"/>
      <c r="BR70" s="635"/>
      <c r="BS70" s="635"/>
      <c r="BT70" s="635"/>
      <c r="BU70" s="635"/>
      <c r="BV70" s="635"/>
      <c r="BW70" s="635"/>
      <c r="BX70" s="635"/>
      <c r="BY70" s="635"/>
      <c r="BZ70" s="635"/>
      <c r="CA70" s="635"/>
      <c r="CB70" s="635"/>
      <c r="CC70" s="635"/>
      <c r="CD70" s="635"/>
      <c r="CE70" s="635"/>
      <c r="CF70" s="635"/>
      <c r="CG70" s="635"/>
      <c r="CH70" s="635"/>
      <c r="CI70" s="635"/>
      <c r="CJ70" s="635"/>
      <c r="CK70" s="635"/>
      <c r="CL70" s="635"/>
      <c r="CM70" s="635"/>
      <c r="CN70" s="635"/>
      <c r="CO70" s="635"/>
      <c r="CP70" s="635"/>
      <c r="CQ70" s="635"/>
      <c r="CR70" s="635"/>
      <c r="CS70" s="635"/>
      <c r="CT70" s="635"/>
      <c r="CU70" s="635"/>
      <c r="CV70" s="635"/>
      <c r="CW70" s="635"/>
      <c r="CX70" s="635"/>
      <c r="CY70" s="635"/>
      <c r="CZ70" s="635"/>
      <c r="DA70" s="635"/>
      <c r="DE70" s="180" t="s">
        <v>617</v>
      </c>
    </row>
    <row r="71" spans="1:109" ht="10.5" hidden="1" customHeight="1" x14ac:dyDescent="0.25"/>
    <row r="72" spans="1:109" ht="55.5" hidden="1" customHeight="1" x14ac:dyDescent="0.25">
      <c r="A72" s="520" t="s">
        <v>176</v>
      </c>
      <c r="B72" s="521"/>
      <c r="C72" s="521"/>
      <c r="D72" s="521"/>
      <c r="E72" s="521"/>
      <c r="F72" s="522"/>
      <c r="G72" s="520" t="s">
        <v>527</v>
      </c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21"/>
      <c r="AQ72" s="521"/>
      <c r="AR72" s="521"/>
      <c r="AS72" s="521"/>
      <c r="AT72" s="521"/>
      <c r="AU72" s="521"/>
      <c r="AV72" s="521"/>
      <c r="AW72" s="521"/>
      <c r="AX72" s="521"/>
      <c r="AY72" s="521"/>
      <c r="AZ72" s="521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1"/>
      <c r="BT72" s="521"/>
      <c r="BU72" s="521"/>
      <c r="BV72" s="522"/>
      <c r="BW72" s="520" t="s">
        <v>528</v>
      </c>
      <c r="BX72" s="521"/>
      <c r="BY72" s="521"/>
      <c r="BZ72" s="521"/>
      <c r="CA72" s="521"/>
      <c r="CB72" s="521"/>
      <c r="CC72" s="521"/>
      <c r="CD72" s="521"/>
      <c r="CE72" s="521"/>
      <c r="CF72" s="521"/>
      <c r="CG72" s="521"/>
      <c r="CH72" s="521"/>
      <c r="CI72" s="521"/>
      <c r="CJ72" s="521"/>
      <c r="CK72" s="521"/>
      <c r="CL72" s="522"/>
      <c r="CM72" s="520" t="s">
        <v>529</v>
      </c>
      <c r="CN72" s="521"/>
      <c r="CO72" s="521"/>
      <c r="CP72" s="521"/>
      <c r="CQ72" s="521"/>
      <c r="CR72" s="521"/>
      <c r="CS72" s="521"/>
      <c r="CT72" s="521"/>
      <c r="CU72" s="521"/>
      <c r="CV72" s="521"/>
      <c r="CW72" s="521"/>
      <c r="CX72" s="521"/>
      <c r="CY72" s="521"/>
      <c r="CZ72" s="521"/>
      <c r="DA72" s="522"/>
      <c r="DE72" s="271" t="s">
        <v>620</v>
      </c>
    </row>
    <row r="73" spans="1:109" s="180" customFormat="1" ht="12.75" hidden="1" x14ac:dyDescent="0.2">
      <c r="A73" s="515">
        <v>1</v>
      </c>
      <c r="B73" s="515"/>
      <c r="C73" s="515"/>
      <c r="D73" s="515"/>
      <c r="E73" s="515"/>
      <c r="F73" s="515"/>
      <c r="G73" s="515">
        <v>2</v>
      </c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  <c r="AA73" s="515"/>
      <c r="AB73" s="515"/>
      <c r="AC73" s="515"/>
      <c r="AD73" s="515"/>
      <c r="AE73" s="515"/>
      <c r="AF73" s="515"/>
      <c r="AG73" s="515"/>
      <c r="AH73" s="515"/>
      <c r="AI73" s="515"/>
      <c r="AJ73" s="515"/>
      <c r="AK73" s="515"/>
      <c r="AL73" s="515"/>
      <c r="AM73" s="515"/>
      <c r="AN73" s="515"/>
      <c r="AO73" s="515"/>
      <c r="AP73" s="515"/>
      <c r="AQ73" s="515"/>
      <c r="AR73" s="515"/>
      <c r="AS73" s="515"/>
      <c r="AT73" s="515"/>
      <c r="AU73" s="515"/>
      <c r="AV73" s="515"/>
      <c r="AW73" s="515"/>
      <c r="AX73" s="515"/>
      <c r="AY73" s="515"/>
      <c r="AZ73" s="515"/>
      <c r="BA73" s="515"/>
      <c r="BB73" s="515"/>
      <c r="BC73" s="515"/>
      <c r="BD73" s="515"/>
      <c r="BE73" s="515"/>
      <c r="BF73" s="515"/>
      <c r="BG73" s="515"/>
      <c r="BH73" s="515"/>
      <c r="BI73" s="515"/>
      <c r="BJ73" s="515"/>
      <c r="BK73" s="515"/>
      <c r="BL73" s="515"/>
      <c r="BM73" s="515"/>
      <c r="BN73" s="515"/>
      <c r="BO73" s="515"/>
      <c r="BP73" s="515"/>
      <c r="BQ73" s="515"/>
      <c r="BR73" s="515"/>
      <c r="BS73" s="515"/>
      <c r="BT73" s="515"/>
      <c r="BU73" s="515"/>
      <c r="BV73" s="515"/>
      <c r="BW73" s="515">
        <v>3</v>
      </c>
      <c r="BX73" s="515"/>
      <c r="BY73" s="515"/>
      <c r="BZ73" s="515"/>
      <c r="CA73" s="515"/>
      <c r="CB73" s="515"/>
      <c r="CC73" s="515"/>
      <c r="CD73" s="515"/>
      <c r="CE73" s="515"/>
      <c r="CF73" s="515"/>
      <c r="CG73" s="515"/>
      <c r="CH73" s="515"/>
      <c r="CI73" s="515"/>
      <c r="CJ73" s="515"/>
      <c r="CK73" s="515"/>
      <c r="CL73" s="515"/>
      <c r="CM73" s="515">
        <v>4</v>
      </c>
      <c r="CN73" s="515"/>
      <c r="CO73" s="515"/>
      <c r="CP73" s="515"/>
      <c r="CQ73" s="515"/>
      <c r="CR73" s="515"/>
      <c r="CS73" s="515"/>
      <c r="CT73" s="515"/>
      <c r="CU73" s="515"/>
      <c r="CV73" s="515"/>
      <c r="CW73" s="515"/>
      <c r="CX73" s="515"/>
      <c r="CY73" s="515"/>
      <c r="CZ73" s="515"/>
      <c r="DA73" s="515"/>
    </row>
    <row r="74" spans="1:109" ht="15" hidden="1" customHeight="1" x14ac:dyDescent="0.25">
      <c r="A74" s="508" t="s">
        <v>513</v>
      </c>
      <c r="B74" s="508"/>
      <c r="C74" s="508"/>
      <c r="D74" s="508"/>
      <c r="E74" s="508"/>
      <c r="F74" s="508"/>
      <c r="G74" s="254"/>
      <c r="H74" s="524" t="s">
        <v>530</v>
      </c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4"/>
      <c r="AK74" s="524"/>
      <c r="AL74" s="524"/>
      <c r="AM74" s="524"/>
      <c r="AN74" s="524"/>
      <c r="AO74" s="524"/>
      <c r="AP74" s="524"/>
      <c r="AQ74" s="524"/>
      <c r="AR74" s="524"/>
      <c r="AS74" s="524"/>
      <c r="AT74" s="524"/>
      <c r="AU74" s="524"/>
      <c r="AV74" s="524"/>
      <c r="AW74" s="524"/>
      <c r="AX74" s="524"/>
      <c r="AY74" s="524"/>
      <c r="AZ74" s="524"/>
      <c r="BA74" s="524"/>
      <c r="BB74" s="524"/>
      <c r="BC74" s="524"/>
      <c r="BD74" s="524"/>
      <c r="BE74" s="524"/>
      <c r="BF74" s="524"/>
      <c r="BG74" s="524"/>
      <c r="BH74" s="524"/>
      <c r="BI74" s="524"/>
      <c r="BJ74" s="524"/>
      <c r="BK74" s="524"/>
      <c r="BL74" s="524"/>
      <c r="BM74" s="524"/>
      <c r="BN74" s="524"/>
      <c r="BO74" s="524"/>
      <c r="BP74" s="524"/>
      <c r="BQ74" s="524"/>
      <c r="BR74" s="524"/>
      <c r="BS74" s="524"/>
      <c r="BT74" s="524"/>
      <c r="BU74" s="524"/>
      <c r="BV74" s="525"/>
      <c r="BW74" s="510" t="s">
        <v>494</v>
      </c>
      <c r="BX74" s="510"/>
      <c r="BY74" s="510"/>
      <c r="BZ74" s="510"/>
      <c r="CA74" s="510"/>
      <c r="CB74" s="510"/>
      <c r="CC74" s="510"/>
      <c r="CD74" s="510"/>
      <c r="CE74" s="510"/>
      <c r="CF74" s="510"/>
      <c r="CG74" s="510"/>
      <c r="CH74" s="510"/>
      <c r="CI74" s="510"/>
      <c r="CJ74" s="510"/>
      <c r="CK74" s="510"/>
      <c r="CL74" s="510"/>
      <c r="CM74" s="510"/>
      <c r="CN74" s="510"/>
      <c r="CO74" s="510"/>
      <c r="CP74" s="510"/>
      <c r="CQ74" s="510"/>
      <c r="CR74" s="510"/>
      <c r="CS74" s="510"/>
      <c r="CT74" s="510"/>
      <c r="CU74" s="510"/>
      <c r="CV74" s="510"/>
      <c r="CW74" s="510"/>
      <c r="CX74" s="510"/>
      <c r="CY74" s="510"/>
      <c r="CZ74" s="510"/>
      <c r="DA74" s="510"/>
    </row>
    <row r="75" spans="1:109" s="180" customFormat="1" ht="12.75" hidden="1" x14ac:dyDescent="0.2">
      <c r="A75" s="544" t="s">
        <v>531</v>
      </c>
      <c r="B75" s="545"/>
      <c r="C75" s="545"/>
      <c r="D75" s="545"/>
      <c r="E75" s="545"/>
      <c r="F75" s="546"/>
      <c r="G75" s="255"/>
      <c r="H75" s="550" t="s">
        <v>237</v>
      </c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550"/>
      <c r="AN75" s="550"/>
      <c r="AO75" s="550"/>
      <c r="AP75" s="550"/>
      <c r="AQ75" s="550"/>
      <c r="AR75" s="550"/>
      <c r="AS75" s="550"/>
      <c r="AT75" s="550"/>
      <c r="AU75" s="550"/>
      <c r="AV75" s="550"/>
      <c r="AW75" s="550"/>
      <c r="AX75" s="550"/>
      <c r="AY75" s="550"/>
      <c r="AZ75" s="550"/>
      <c r="BA75" s="550"/>
      <c r="BB75" s="550"/>
      <c r="BC75" s="550"/>
      <c r="BD75" s="550"/>
      <c r="BE75" s="550"/>
      <c r="BF75" s="550"/>
      <c r="BG75" s="550"/>
      <c r="BH75" s="550"/>
      <c r="BI75" s="550"/>
      <c r="BJ75" s="550"/>
      <c r="BK75" s="550"/>
      <c r="BL75" s="550"/>
      <c r="BM75" s="550"/>
      <c r="BN75" s="550"/>
      <c r="BO75" s="550"/>
      <c r="BP75" s="550"/>
      <c r="BQ75" s="550"/>
      <c r="BR75" s="550"/>
      <c r="BS75" s="550"/>
      <c r="BT75" s="550"/>
      <c r="BU75" s="550"/>
      <c r="BV75" s="551"/>
      <c r="BW75" s="629">
        <v>0</v>
      </c>
      <c r="BX75" s="630"/>
      <c r="BY75" s="630"/>
      <c r="BZ75" s="630"/>
      <c r="CA75" s="630"/>
      <c r="CB75" s="630"/>
      <c r="CC75" s="630"/>
      <c r="CD75" s="630"/>
      <c r="CE75" s="630"/>
      <c r="CF75" s="630"/>
      <c r="CG75" s="630"/>
      <c r="CH75" s="630"/>
      <c r="CI75" s="630"/>
      <c r="CJ75" s="630"/>
      <c r="CK75" s="630"/>
      <c r="CL75" s="631"/>
      <c r="CM75" s="552">
        <f>BW75*22%</f>
        <v>0</v>
      </c>
      <c r="CN75" s="558"/>
      <c r="CO75" s="558"/>
      <c r="CP75" s="558"/>
      <c r="CQ75" s="558"/>
      <c r="CR75" s="558"/>
      <c r="CS75" s="558"/>
      <c r="CT75" s="558"/>
      <c r="CU75" s="558"/>
      <c r="CV75" s="558"/>
      <c r="CW75" s="558"/>
      <c r="CX75" s="558"/>
      <c r="CY75" s="558"/>
      <c r="CZ75" s="558"/>
      <c r="DA75" s="559"/>
    </row>
    <row r="76" spans="1:109" s="180" customFormat="1" ht="12.75" hidden="1" x14ac:dyDescent="0.2">
      <c r="A76" s="547"/>
      <c r="B76" s="548"/>
      <c r="C76" s="548"/>
      <c r="D76" s="548"/>
      <c r="E76" s="548"/>
      <c r="F76" s="549"/>
      <c r="G76" s="256"/>
      <c r="H76" s="563" t="s">
        <v>532</v>
      </c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563"/>
      <c r="BC76" s="563"/>
      <c r="BD76" s="563"/>
      <c r="BE76" s="563"/>
      <c r="BF76" s="563"/>
      <c r="BG76" s="563"/>
      <c r="BH76" s="563"/>
      <c r="BI76" s="563"/>
      <c r="BJ76" s="563"/>
      <c r="BK76" s="563"/>
      <c r="BL76" s="563"/>
      <c r="BM76" s="563"/>
      <c r="BN76" s="563"/>
      <c r="BO76" s="563"/>
      <c r="BP76" s="563"/>
      <c r="BQ76" s="563"/>
      <c r="BR76" s="563"/>
      <c r="BS76" s="563"/>
      <c r="BT76" s="563"/>
      <c r="BU76" s="563"/>
      <c r="BV76" s="564"/>
      <c r="BW76" s="632"/>
      <c r="BX76" s="633"/>
      <c r="BY76" s="633"/>
      <c r="BZ76" s="633"/>
      <c r="CA76" s="633"/>
      <c r="CB76" s="633"/>
      <c r="CC76" s="633"/>
      <c r="CD76" s="633"/>
      <c r="CE76" s="633"/>
      <c r="CF76" s="633"/>
      <c r="CG76" s="633"/>
      <c r="CH76" s="633"/>
      <c r="CI76" s="633"/>
      <c r="CJ76" s="633"/>
      <c r="CK76" s="633"/>
      <c r="CL76" s="634"/>
      <c r="CM76" s="560"/>
      <c r="CN76" s="561"/>
      <c r="CO76" s="561"/>
      <c r="CP76" s="561"/>
      <c r="CQ76" s="561"/>
      <c r="CR76" s="561"/>
      <c r="CS76" s="561"/>
      <c r="CT76" s="561"/>
      <c r="CU76" s="561"/>
      <c r="CV76" s="561"/>
      <c r="CW76" s="561"/>
      <c r="CX76" s="561"/>
      <c r="CY76" s="561"/>
      <c r="CZ76" s="561"/>
      <c r="DA76" s="562"/>
      <c r="DE76" s="180">
        <v>211</v>
      </c>
    </row>
    <row r="77" spans="1:109" s="180" customFormat="1" ht="13.5" hidden="1" customHeight="1" x14ac:dyDescent="0.2">
      <c r="A77" s="508" t="s">
        <v>533</v>
      </c>
      <c r="B77" s="508"/>
      <c r="C77" s="508"/>
      <c r="D77" s="508"/>
      <c r="E77" s="508"/>
      <c r="F77" s="508"/>
      <c r="G77" s="254"/>
      <c r="H77" s="542" t="s">
        <v>534</v>
      </c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42"/>
      <c r="U77" s="542"/>
      <c r="V77" s="542"/>
      <c r="W77" s="542"/>
      <c r="X77" s="542"/>
      <c r="Y77" s="542"/>
      <c r="Z77" s="542"/>
      <c r="AA77" s="542"/>
      <c r="AB77" s="542"/>
      <c r="AC77" s="542"/>
      <c r="AD77" s="542"/>
      <c r="AE77" s="542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542"/>
      <c r="AT77" s="542"/>
      <c r="AU77" s="542"/>
      <c r="AV77" s="542"/>
      <c r="AW77" s="542"/>
      <c r="AX77" s="542"/>
      <c r="AY77" s="542"/>
      <c r="AZ77" s="542"/>
      <c r="BA77" s="542"/>
      <c r="BB77" s="542"/>
      <c r="BC77" s="542"/>
      <c r="BD77" s="542"/>
      <c r="BE77" s="542"/>
      <c r="BF77" s="542"/>
      <c r="BG77" s="542"/>
      <c r="BH77" s="542"/>
      <c r="BI77" s="542"/>
      <c r="BJ77" s="542"/>
      <c r="BK77" s="542"/>
      <c r="BL77" s="542"/>
      <c r="BM77" s="542"/>
      <c r="BN77" s="542"/>
      <c r="BO77" s="542"/>
      <c r="BP77" s="542"/>
      <c r="BQ77" s="542"/>
      <c r="BR77" s="542"/>
      <c r="BS77" s="542"/>
      <c r="BT77" s="542"/>
      <c r="BU77" s="542"/>
      <c r="BV77" s="543"/>
      <c r="BW77" s="510"/>
      <c r="BX77" s="510"/>
      <c r="BY77" s="510"/>
      <c r="BZ77" s="510"/>
      <c r="CA77" s="510"/>
      <c r="CB77" s="510"/>
      <c r="CC77" s="510"/>
      <c r="CD77" s="510"/>
      <c r="CE77" s="510"/>
      <c r="CF77" s="510"/>
      <c r="CG77" s="510"/>
      <c r="CH77" s="510"/>
      <c r="CI77" s="510"/>
      <c r="CJ77" s="510"/>
      <c r="CK77" s="510"/>
      <c r="CL77" s="510"/>
      <c r="CM77" s="510"/>
      <c r="CN77" s="510"/>
      <c r="CO77" s="510"/>
      <c r="CP77" s="510"/>
      <c r="CQ77" s="510"/>
      <c r="CR77" s="510"/>
      <c r="CS77" s="510"/>
      <c r="CT77" s="510"/>
      <c r="CU77" s="510"/>
      <c r="CV77" s="510"/>
      <c r="CW77" s="510"/>
      <c r="CX77" s="510"/>
      <c r="CY77" s="510"/>
      <c r="CZ77" s="510"/>
      <c r="DA77" s="510"/>
    </row>
    <row r="78" spans="1:109" s="180" customFormat="1" ht="26.25" hidden="1" customHeight="1" x14ac:dyDescent="0.2">
      <c r="A78" s="508" t="s">
        <v>535</v>
      </c>
      <c r="B78" s="508"/>
      <c r="C78" s="508"/>
      <c r="D78" s="508"/>
      <c r="E78" s="508"/>
      <c r="F78" s="508"/>
      <c r="G78" s="254"/>
      <c r="H78" s="542" t="s">
        <v>536</v>
      </c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  <c r="AF78" s="542"/>
      <c r="AG78" s="542"/>
      <c r="AH78" s="542"/>
      <c r="AI78" s="542"/>
      <c r="AJ78" s="542"/>
      <c r="AK78" s="542"/>
      <c r="AL78" s="542"/>
      <c r="AM78" s="542"/>
      <c r="AN78" s="542"/>
      <c r="AO78" s="542"/>
      <c r="AP78" s="542"/>
      <c r="AQ78" s="542"/>
      <c r="AR78" s="542"/>
      <c r="AS78" s="542"/>
      <c r="AT78" s="542"/>
      <c r="AU78" s="542"/>
      <c r="AV78" s="542"/>
      <c r="AW78" s="542"/>
      <c r="AX78" s="542"/>
      <c r="AY78" s="542"/>
      <c r="AZ78" s="542"/>
      <c r="BA78" s="542"/>
      <c r="BB78" s="542"/>
      <c r="BC78" s="542"/>
      <c r="BD78" s="542"/>
      <c r="BE78" s="542"/>
      <c r="BF78" s="542"/>
      <c r="BG78" s="542"/>
      <c r="BH78" s="542"/>
      <c r="BI78" s="542"/>
      <c r="BJ78" s="542"/>
      <c r="BK78" s="542"/>
      <c r="BL78" s="542"/>
      <c r="BM78" s="542"/>
      <c r="BN78" s="542"/>
      <c r="BO78" s="542"/>
      <c r="BP78" s="542"/>
      <c r="BQ78" s="542"/>
      <c r="BR78" s="542"/>
      <c r="BS78" s="542"/>
      <c r="BT78" s="542"/>
      <c r="BU78" s="542"/>
      <c r="BV78" s="543"/>
      <c r="BW78" s="510"/>
      <c r="BX78" s="510"/>
      <c r="BY78" s="510"/>
      <c r="BZ78" s="510"/>
      <c r="CA78" s="510"/>
      <c r="CB78" s="510"/>
      <c r="CC78" s="510"/>
      <c r="CD78" s="510"/>
      <c r="CE78" s="510"/>
      <c r="CF78" s="510"/>
      <c r="CG78" s="510"/>
      <c r="CH78" s="510"/>
      <c r="CI78" s="510"/>
      <c r="CJ78" s="510"/>
      <c r="CK78" s="510"/>
      <c r="CL78" s="510"/>
      <c r="CM78" s="510"/>
      <c r="CN78" s="510"/>
      <c r="CO78" s="510"/>
      <c r="CP78" s="510"/>
      <c r="CQ78" s="510"/>
      <c r="CR78" s="510"/>
      <c r="CS78" s="510"/>
      <c r="CT78" s="510"/>
      <c r="CU78" s="510"/>
      <c r="CV78" s="510"/>
      <c r="CW78" s="510"/>
      <c r="CX78" s="510"/>
      <c r="CY78" s="510"/>
      <c r="CZ78" s="510"/>
      <c r="DA78" s="510"/>
      <c r="DE78" s="260">
        <f>ROUND((52200*100/130.2),-2)</f>
        <v>40100</v>
      </c>
    </row>
    <row r="79" spans="1:109" s="180" customFormat="1" ht="26.25" hidden="1" customHeight="1" x14ac:dyDescent="0.2">
      <c r="A79" s="508" t="s">
        <v>515</v>
      </c>
      <c r="B79" s="508"/>
      <c r="C79" s="508"/>
      <c r="D79" s="508"/>
      <c r="E79" s="508"/>
      <c r="F79" s="508"/>
      <c r="G79" s="254"/>
      <c r="H79" s="524" t="s">
        <v>537</v>
      </c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  <c r="AP79" s="524"/>
      <c r="AQ79" s="524"/>
      <c r="AR79" s="524"/>
      <c r="AS79" s="524"/>
      <c r="AT79" s="524"/>
      <c r="AU79" s="524"/>
      <c r="AV79" s="524"/>
      <c r="AW79" s="524"/>
      <c r="AX79" s="524"/>
      <c r="AY79" s="524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4"/>
      <c r="BN79" s="524"/>
      <c r="BO79" s="524"/>
      <c r="BP79" s="524"/>
      <c r="BQ79" s="524"/>
      <c r="BR79" s="524"/>
      <c r="BS79" s="524"/>
      <c r="BT79" s="524"/>
      <c r="BU79" s="524"/>
      <c r="BV79" s="525"/>
      <c r="BW79" s="510" t="s">
        <v>494</v>
      </c>
      <c r="BX79" s="510"/>
      <c r="BY79" s="510"/>
      <c r="BZ79" s="510"/>
      <c r="CA79" s="510"/>
      <c r="CB79" s="510"/>
      <c r="CC79" s="510"/>
      <c r="CD79" s="510"/>
      <c r="CE79" s="510"/>
      <c r="CF79" s="510"/>
      <c r="CG79" s="510"/>
      <c r="CH79" s="510"/>
      <c r="CI79" s="510"/>
      <c r="CJ79" s="510"/>
      <c r="CK79" s="510"/>
      <c r="CL79" s="510"/>
      <c r="CM79" s="510"/>
      <c r="CN79" s="510"/>
      <c r="CO79" s="510"/>
      <c r="CP79" s="510"/>
      <c r="CQ79" s="510"/>
      <c r="CR79" s="510"/>
      <c r="CS79" s="510"/>
      <c r="CT79" s="510"/>
      <c r="CU79" s="510"/>
      <c r="CV79" s="510"/>
      <c r="CW79" s="510"/>
      <c r="CX79" s="510"/>
      <c r="CY79" s="510"/>
      <c r="CZ79" s="510"/>
      <c r="DA79" s="510"/>
    </row>
    <row r="80" spans="1:109" s="180" customFormat="1" ht="12.75" hidden="1" x14ac:dyDescent="0.2">
      <c r="A80" s="544" t="s">
        <v>538</v>
      </c>
      <c r="B80" s="545"/>
      <c r="C80" s="545"/>
      <c r="D80" s="545"/>
      <c r="E80" s="545"/>
      <c r="F80" s="546"/>
      <c r="G80" s="255"/>
      <c r="H80" s="550" t="s">
        <v>237</v>
      </c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1"/>
      <c r="BW80" s="552">
        <f>BW75</f>
        <v>0</v>
      </c>
      <c r="BX80" s="553"/>
      <c r="BY80" s="553"/>
      <c r="BZ80" s="553"/>
      <c r="CA80" s="553"/>
      <c r="CB80" s="553"/>
      <c r="CC80" s="553"/>
      <c r="CD80" s="553"/>
      <c r="CE80" s="553"/>
      <c r="CF80" s="553"/>
      <c r="CG80" s="553"/>
      <c r="CH80" s="553"/>
      <c r="CI80" s="553"/>
      <c r="CJ80" s="553"/>
      <c r="CK80" s="553"/>
      <c r="CL80" s="554"/>
      <c r="CM80" s="552">
        <f>BW80*2.9%</f>
        <v>0</v>
      </c>
      <c r="CN80" s="558"/>
      <c r="CO80" s="558"/>
      <c r="CP80" s="558"/>
      <c r="CQ80" s="558"/>
      <c r="CR80" s="558"/>
      <c r="CS80" s="558"/>
      <c r="CT80" s="558"/>
      <c r="CU80" s="558"/>
      <c r="CV80" s="558"/>
      <c r="CW80" s="558"/>
      <c r="CX80" s="558"/>
      <c r="CY80" s="558"/>
      <c r="CZ80" s="558"/>
      <c r="DA80" s="559"/>
    </row>
    <row r="81" spans="1:109" s="180" customFormat="1" ht="25.5" hidden="1" customHeight="1" x14ac:dyDescent="0.2">
      <c r="A81" s="547"/>
      <c r="B81" s="548"/>
      <c r="C81" s="548"/>
      <c r="D81" s="548"/>
      <c r="E81" s="548"/>
      <c r="F81" s="549"/>
      <c r="G81" s="256"/>
      <c r="H81" s="563" t="s">
        <v>539</v>
      </c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63"/>
      <c r="AR81" s="563"/>
      <c r="AS81" s="563"/>
      <c r="AT81" s="563"/>
      <c r="AU81" s="563"/>
      <c r="AV81" s="563"/>
      <c r="AW81" s="563"/>
      <c r="AX81" s="563"/>
      <c r="AY81" s="563"/>
      <c r="AZ81" s="563"/>
      <c r="BA81" s="563"/>
      <c r="BB81" s="563"/>
      <c r="BC81" s="563"/>
      <c r="BD81" s="563"/>
      <c r="BE81" s="563"/>
      <c r="BF81" s="563"/>
      <c r="BG81" s="563"/>
      <c r="BH81" s="563"/>
      <c r="BI81" s="563"/>
      <c r="BJ81" s="563"/>
      <c r="BK81" s="563"/>
      <c r="BL81" s="563"/>
      <c r="BM81" s="563"/>
      <c r="BN81" s="563"/>
      <c r="BO81" s="563"/>
      <c r="BP81" s="563"/>
      <c r="BQ81" s="563"/>
      <c r="BR81" s="563"/>
      <c r="BS81" s="563"/>
      <c r="BT81" s="563"/>
      <c r="BU81" s="563"/>
      <c r="BV81" s="564"/>
      <c r="BW81" s="555"/>
      <c r="BX81" s="556"/>
      <c r="BY81" s="556"/>
      <c r="BZ81" s="556"/>
      <c r="CA81" s="556"/>
      <c r="CB81" s="556"/>
      <c r="CC81" s="556"/>
      <c r="CD81" s="556"/>
      <c r="CE81" s="556"/>
      <c r="CF81" s="556"/>
      <c r="CG81" s="556"/>
      <c r="CH81" s="556"/>
      <c r="CI81" s="556"/>
      <c r="CJ81" s="556"/>
      <c r="CK81" s="556"/>
      <c r="CL81" s="557"/>
      <c r="CM81" s="560"/>
      <c r="CN81" s="561"/>
      <c r="CO81" s="561"/>
      <c r="CP81" s="561"/>
      <c r="CQ81" s="561"/>
      <c r="CR81" s="561"/>
      <c r="CS81" s="561"/>
      <c r="CT81" s="561"/>
      <c r="CU81" s="561"/>
      <c r="CV81" s="561"/>
      <c r="CW81" s="561"/>
      <c r="CX81" s="561"/>
      <c r="CY81" s="561"/>
      <c r="CZ81" s="561"/>
      <c r="DA81" s="562"/>
      <c r="DE81" s="260">
        <f>BW75+CM87</f>
        <v>0</v>
      </c>
    </row>
    <row r="82" spans="1:109" s="180" customFormat="1" ht="26.25" hidden="1" customHeight="1" x14ac:dyDescent="0.2">
      <c r="A82" s="508" t="s">
        <v>540</v>
      </c>
      <c r="B82" s="508"/>
      <c r="C82" s="508"/>
      <c r="D82" s="508"/>
      <c r="E82" s="508"/>
      <c r="F82" s="508"/>
      <c r="G82" s="254"/>
      <c r="H82" s="542" t="s">
        <v>541</v>
      </c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2"/>
      <c r="AQ82" s="542"/>
      <c r="AR82" s="542"/>
      <c r="AS82" s="542"/>
      <c r="AT82" s="542"/>
      <c r="AU82" s="542"/>
      <c r="AV82" s="542"/>
      <c r="AW82" s="542"/>
      <c r="AX82" s="542"/>
      <c r="AY82" s="542"/>
      <c r="AZ82" s="542"/>
      <c r="BA82" s="542"/>
      <c r="BB82" s="542"/>
      <c r="BC82" s="542"/>
      <c r="BD82" s="542"/>
      <c r="BE82" s="542"/>
      <c r="BF82" s="542"/>
      <c r="BG82" s="542"/>
      <c r="BH82" s="542"/>
      <c r="BI82" s="542"/>
      <c r="BJ82" s="542"/>
      <c r="BK82" s="542"/>
      <c r="BL82" s="542"/>
      <c r="BM82" s="542"/>
      <c r="BN82" s="542"/>
      <c r="BO82" s="542"/>
      <c r="BP82" s="542"/>
      <c r="BQ82" s="542"/>
      <c r="BR82" s="542"/>
      <c r="BS82" s="542"/>
      <c r="BT82" s="542"/>
      <c r="BU82" s="542"/>
      <c r="BV82" s="543"/>
      <c r="BW82" s="510"/>
      <c r="BX82" s="510"/>
      <c r="BY82" s="510"/>
      <c r="BZ82" s="510"/>
      <c r="CA82" s="510"/>
      <c r="CB82" s="510"/>
      <c r="CC82" s="510"/>
      <c r="CD82" s="510"/>
      <c r="CE82" s="510"/>
      <c r="CF82" s="510"/>
      <c r="CG82" s="510"/>
      <c r="CH82" s="510"/>
      <c r="CI82" s="510"/>
      <c r="CJ82" s="510"/>
      <c r="CK82" s="510"/>
      <c r="CL82" s="510"/>
      <c r="CM82" s="510"/>
      <c r="CN82" s="510"/>
      <c r="CO82" s="510"/>
      <c r="CP82" s="510"/>
      <c r="CQ82" s="510"/>
      <c r="CR82" s="510"/>
      <c r="CS82" s="510"/>
      <c r="CT82" s="510"/>
      <c r="CU82" s="510"/>
      <c r="CV82" s="510"/>
      <c r="CW82" s="510"/>
      <c r="CX82" s="510"/>
      <c r="CY82" s="510"/>
      <c r="CZ82" s="510"/>
      <c r="DA82" s="510"/>
    </row>
    <row r="83" spans="1:109" s="180" customFormat="1" ht="27" hidden="1" customHeight="1" x14ac:dyDescent="0.2">
      <c r="A83" s="508" t="s">
        <v>542</v>
      </c>
      <c r="B83" s="508"/>
      <c r="C83" s="508"/>
      <c r="D83" s="508"/>
      <c r="E83" s="508"/>
      <c r="F83" s="508"/>
      <c r="G83" s="254"/>
      <c r="H83" s="542" t="s">
        <v>543</v>
      </c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  <c r="AF83" s="542"/>
      <c r="AG83" s="542"/>
      <c r="AH83" s="542"/>
      <c r="AI83" s="542"/>
      <c r="AJ83" s="542"/>
      <c r="AK83" s="542"/>
      <c r="AL83" s="542"/>
      <c r="AM83" s="542"/>
      <c r="AN83" s="542"/>
      <c r="AO83" s="542"/>
      <c r="AP83" s="542"/>
      <c r="AQ83" s="542"/>
      <c r="AR83" s="542"/>
      <c r="AS83" s="542"/>
      <c r="AT83" s="542"/>
      <c r="AU83" s="542"/>
      <c r="AV83" s="542"/>
      <c r="AW83" s="542"/>
      <c r="AX83" s="542"/>
      <c r="AY83" s="542"/>
      <c r="AZ83" s="542"/>
      <c r="BA83" s="542"/>
      <c r="BB83" s="542"/>
      <c r="BC83" s="542"/>
      <c r="BD83" s="542"/>
      <c r="BE83" s="542"/>
      <c r="BF83" s="542"/>
      <c r="BG83" s="542"/>
      <c r="BH83" s="542"/>
      <c r="BI83" s="542"/>
      <c r="BJ83" s="542"/>
      <c r="BK83" s="542"/>
      <c r="BL83" s="542"/>
      <c r="BM83" s="542"/>
      <c r="BN83" s="542"/>
      <c r="BO83" s="542"/>
      <c r="BP83" s="542"/>
      <c r="BQ83" s="542"/>
      <c r="BR83" s="542"/>
      <c r="BS83" s="542"/>
      <c r="BT83" s="542"/>
      <c r="BU83" s="542"/>
      <c r="BV83" s="543"/>
      <c r="BW83" s="511">
        <f>BW75</f>
        <v>0</v>
      </c>
      <c r="BX83" s="510"/>
      <c r="BY83" s="510"/>
      <c r="BZ83" s="510"/>
      <c r="CA83" s="510"/>
      <c r="CB83" s="510"/>
      <c r="CC83" s="510"/>
      <c r="CD83" s="510"/>
      <c r="CE83" s="510"/>
      <c r="CF83" s="510"/>
      <c r="CG83" s="510"/>
      <c r="CH83" s="510"/>
      <c r="CI83" s="510"/>
      <c r="CJ83" s="510"/>
      <c r="CK83" s="510"/>
      <c r="CL83" s="510"/>
      <c r="CM83" s="511">
        <f>BW83*0.2%</f>
        <v>0</v>
      </c>
      <c r="CN83" s="511"/>
      <c r="CO83" s="511"/>
      <c r="CP83" s="511"/>
      <c r="CQ83" s="511"/>
      <c r="CR83" s="511"/>
      <c r="CS83" s="511"/>
      <c r="CT83" s="511"/>
      <c r="CU83" s="511"/>
      <c r="CV83" s="511"/>
      <c r="CW83" s="511"/>
      <c r="CX83" s="511"/>
      <c r="CY83" s="511"/>
      <c r="CZ83" s="511"/>
      <c r="DA83" s="511"/>
    </row>
    <row r="84" spans="1:109" s="180" customFormat="1" ht="27" hidden="1" customHeight="1" x14ac:dyDescent="0.2">
      <c r="A84" s="508" t="s">
        <v>544</v>
      </c>
      <c r="B84" s="508"/>
      <c r="C84" s="508"/>
      <c r="D84" s="508"/>
      <c r="E84" s="508"/>
      <c r="F84" s="508"/>
      <c r="G84" s="254"/>
      <c r="H84" s="542" t="s">
        <v>545</v>
      </c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  <c r="AF84" s="542"/>
      <c r="AG84" s="542"/>
      <c r="AH84" s="542"/>
      <c r="AI84" s="542"/>
      <c r="AJ84" s="542"/>
      <c r="AK84" s="542"/>
      <c r="AL84" s="542"/>
      <c r="AM84" s="542"/>
      <c r="AN84" s="542"/>
      <c r="AO84" s="542"/>
      <c r="AP84" s="542"/>
      <c r="AQ84" s="542"/>
      <c r="AR84" s="542"/>
      <c r="AS84" s="542"/>
      <c r="AT84" s="542"/>
      <c r="AU84" s="542"/>
      <c r="AV84" s="542"/>
      <c r="AW84" s="542"/>
      <c r="AX84" s="542"/>
      <c r="AY84" s="542"/>
      <c r="AZ84" s="542"/>
      <c r="BA84" s="542"/>
      <c r="BB84" s="542"/>
      <c r="BC84" s="542"/>
      <c r="BD84" s="542"/>
      <c r="BE84" s="542"/>
      <c r="BF84" s="542"/>
      <c r="BG84" s="542"/>
      <c r="BH84" s="542"/>
      <c r="BI84" s="542"/>
      <c r="BJ84" s="542"/>
      <c r="BK84" s="542"/>
      <c r="BL84" s="542"/>
      <c r="BM84" s="542"/>
      <c r="BN84" s="542"/>
      <c r="BO84" s="542"/>
      <c r="BP84" s="542"/>
      <c r="BQ84" s="542"/>
      <c r="BR84" s="542"/>
      <c r="BS84" s="542"/>
      <c r="BT84" s="542"/>
      <c r="BU84" s="542"/>
      <c r="BV84" s="543"/>
      <c r="BW84" s="510"/>
      <c r="BX84" s="510"/>
      <c r="BY84" s="510"/>
      <c r="BZ84" s="510"/>
      <c r="CA84" s="510"/>
      <c r="CB84" s="510"/>
      <c r="CC84" s="510"/>
      <c r="CD84" s="510"/>
      <c r="CE84" s="510"/>
      <c r="CF84" s="510"/>
      <c r="CG84" s="510"/>
      <c r="CH84" s="510"/>
      <c r="CI84" s="510"/>
      <c r="CJ84" s="510"/>
      <c r="CK84" s="510"/>
      <c r="CL84" s="510"/>
      <c r="CM84" s="510"/>
      <c r="CN84" s="510"/>
      <c r="CO84" s="510"/>
      <c r="CP84" s="510"/>
      <c r="CQ84" s="510"/>
      <c r="CR84" s="510"/>
      <c r="CS84" s="510"/>
      <c r="CT84" s="510"/>
      <c r="CU84" s="510"/>
      <c r="CV84" s="510"/>
      <c r="CW84" s="510"/>
      <c r="CX84" s="510"/>
      <c r="CY84" s="510"/>
      <c r="CZ84" s="510"/>
      <c r="DA84" s="510"/>
    </row>
    <row r="85" spans="1:109" s="180" customFormat="1" ht="27" hidden="1" customHeight="1" x14ac:dyDescent="0.2">
      <c r="A85" s="508" t="s">
        <v>546</v>
      </c>
      <c r="B85" s="508"/>
      <c r="C85" s="508"/>
      <c r="D85" s="508"/>
      <c r="E85" s="508"/>
      <c r="F85" s="508"/>
      <c r="G85" s="254"/>
      <c r="H85" s="542" t="s">
        <v>545</v>
      </c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2"/>
      <c r="AZ85" s="542"/>
      <c r="BA85" s="542"/>
      <c r="BB85" s="542"/>
      <c r="BC85" s="542"/>
      <c r="BD85" s="542"/>
      <c r="BE85" s="542"/>
      <c r="BF85" s="542"/>
      <c r="BG85" s="542"/>
      <c r="BH85" s="542"/>
      <c r="BI85" s="542"/>
      <c r="BJ85" s="542"/>
      <c r="BK85" s="542"/>
      <c r="BL85" s="542"/>
      <c r="BM85" s="542"/>
      <c r="BN85" s="542"/>
      <c r="BO85" s="542"/>
      <c r="BP85" s="542"/>
      <c r="BQ85" s="542"/>
      <c r="BR85" s="542"/>
      <c r="BS85" s="542"/>
      <c r="BT85" s="542"/>
      <c r="BU85" s="542"/>
      <c r="BV85" s="543"/>
      <c r="BW85" s="510"/>
      <c r="BX85" s="510"/>
      <c r="BY85" s="510"/>
      <c r="BZ85" s="510"/>
      <c r="CA85" s="510"/>
      <c r="CB85" s="510"/>
      <c r="CC85" s="510"/>
      <c r="CD85" s="510"/>
      <c r="CE85" s="510"/>
      <c r="CF85" s="510"/>
      <c r="CG85" s="510"/>
      <c r="CH85" s="510"/>
      <c r="CI85" s="510"/>
      <c r="CJ85" s="510"/>
      <c r="CK85" s="510"/>
      <c r="CL85" s="510"/>
      <c r="CM85" s="510"/>
      <c r="CN85" s="510"/>
      <c r="CO85" s="510"/>
      <c r="CP85" s="510"/>
      <c r="CQ85" s="510"/>
      <c r="CR85" s="510"/>
      <c r="CS85" s="510"/>
      <c r="CT85" s="510"/>
      <c r="CU85" s="510"/>
      <c r="CV85" s="510"/>
      <c r="CW85" s="510"/>
      <c r="CX85" s="510"/>
      <c r="CY85" s="510"/>
      <c r="CZ85" s="510"/>
      <c r="DA85" s="510"/>
    </row>
    <row r="86" spans="1:109" s="180" customFormat="1" ht="26.25" hidden="1" customHeight="1" x14ac:dyDescent="0.2">
      <c r="A86" s="508" t="s">
        <v>517</v>
      </c>
      <c r="B86" s="508"/>
      <c r="C86" s="508"/>
      <c r="D86" s="508"/>
      <c r="E86" s="508"/>
      <c r="F86" s="508"/>
      <c r="G86" s="254"/>
      <c r="H86" s="524" t="s">
        <v>547</v>
      </c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4"/>
      <c r="AL86" s="524"/>
      <c r="AM86" s="524"/>
      <c r="AN86" s="524"/>
      <c r="AO86" s="524"/>
      <c r="AP86" s="524"/>
      <c r="AQ86" s="524"/>
      <c r="AR86" s="524"/>
      <c r="AS86" s="524"/>
      <c r="AT86" s="524"/>
      <c r="AU86" s="524"/>
      <c r="AV86" s="524"/>
      <c r="AW86" s="524"/>
      <c r="AX86" s="524"/>
      <c r="AY86" s="524"/>
      <c r="AZ86" s="524"/>
      <c r="BA86" s="524"/>
      <c r="BB86" s="524"/>
      <c r="BC86" s="524"/>
      <c r="BD86" s="524"/>
      <c r="BE86" s="524"/>
      <c r="BF86" s="524"/>
      <c r="BG86" s="524"/>
      <c r="BH86" s="524"/>
      <c r="BI86" s="524"/>
      <c r="BJ86" s="524"/>
      <c r="BK86" s="524"/>
      <c r="BL86" s="524"/>
      <c r="BM86" s="524"/>
      <c r="BN86" s="524"/>
      <c r="BO86" s="524"/>
      <c r="BP86" s="524"/>
      <c r="BQ86" s="524"/>
      <c r="BR86" s="524"/>
      <c r="BS86" s="524"/>
      <c r="BT86" s="524"/>
      <c r="BU86" s="524"/>
      <c r="BV86" s="525"/>
      <c r="BW86" s="511">
        <f>BW83</f>
        <v>0</v>
      </c>
      <c r="BX86" s="510"/>
      <c r="BY86" s="510"/>
      <c r="BZ86" s="510"/>
      <c r="CA86" s="510"/>
      <c r="CB86" s="510"/>
      <c r="CC86" s="510"/>
      <c r="CD86" s="510"/>
      <c r="CE86" s="510"/>
      <c r="CF86" s="510"/>
      <c r="CG86" s="510"/>
      <c r="CH86" s="510"/>
      <c r="CI86" s="510"/>
      <c r="CJ86" s="510"/>
      <c r="CK86" s="510"/>
      <c r="CL86" s="510"/>
      <c r="CM86" s="511">
        <f>BW86*5.1%</f>
        <v>0</v>
      </c>
      <c r="CN86" s="511"/>
      <c r="CO86" s="511"/>
      <c r="CP86" s="511"/>
      <c r="CQ86" s="511"/>
      <c r="CR86" s="511"/>
      <c r="CS86" s="511"/>
      <c r="CT86" s="511"/>
      <c r="CU86" s="511"/>
      <c r="CV86" s="511"/>
      <c r="CW86" s="511"/>
      <c r="CX86" s="511"/>
      <c r="CY86" s="511"/>
      <c r="CZ86" s="511"/>
      <c r="DA86" s="511"/>
    </row>
    <row r="87" spans="1:109" s="180" customFormat="1" ht="13.5" hidden="1" customHeight="1" x14ac:dyDescent="0.2">
      <c r="A87" s="508"/>
      <c r="B87" s="508"/>
      <c r="C87" s="508"/>
      <c r="D87" s="508"/>
      <c r="E87" s="508"/>
      <c r="F87" s="508"/>
      <c r="G87" s="539" t="s">
        <v>521</v>
      </c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2"/>
      <c r="AI87" s="512"/>
      <c r="AJ87" s="512"/>
      <c r="AK87" s="512"/>
      <c r="AL87" s="512"/>
      <c r="AM87" s="512"/>
      <c r="AN87" s="512"/>
      <c r="AO87" s="512"/>
      <c r="AP87" s="512"/>
      <c r="AQ87" s="512"/>
      <c r="AR87" s="512"/>
      <c r="AS87" s="512"/>
      <c r="AT87" s="512"/>
      <c r="AU87" s="512"/>
      <c r="AV87" s="512"/>
      <c r="AW87" s="512"/>
      <c r="AX87" s="512"/>
      <c r="AY87" s="512"/>
      <c r="AZ87" s="512"/>
      <c r="BA87" s="512"/>
      <c r="BB87" s="512"/>
      <c r="BC87" s="512"/>
      <c r="BD87" s="512"/>
      <c r="BE87" s="512"/>
      <c r="BF87" s="512"/>
      <c r="BG87" s="512"/>
      <c r="BH87" s="512"/>
      <c r="BI87" s="512"/>
      <c r="BJ87" s="512"/>
      <c r="BK87" s="512"/>
      <c r="BL87" s="512"/>
      <c r="BM87" s="512"/>
      <c r="BN87" s="512"/>
      <c r="BO87" s="512"/>
      <c r="BP87" s="512"/>
      <c r="BQ87" s="512"/>
      <c r="BR87" s="512"/>
      <c r="BS87" s="512"/>
      <c r="BT87" s="512"/>
      <c r="BU87" s="512"/>
      <c r="BV87" s="513"/>
      <c r="BW87" s="510" t="s">
        <v>494</v>
      </c>
      <c r="BX87" s="510"/>
      <c r="BY87" s="510"/>
      <c r="BZ87" s="510"/>
      <c r="CA87" s="510"/>
      <c r="CB87" s="510"/>
      <c r="CC87" s="510"/>
      <c r="CD87" s="510"/>
      <c r="CE87" s="510"/>
      <c r="CF87" s="510"/>
      <c r="CG87" s="510"/>
      <c r="CH87" s="510"/>
      <c r="CI87" s="510"/>
      <c r="CJ87" s="510"/>
      <c r="CK87" s="510"/>
      <c r="CL87" s="510"/>
      <c r="CM87" s="514">
        <f>SUM(CM75:DA86)</f>
        <v>0</v>
      </c>
      <c r="CN87" s="526"/>
      <c r="CO87" s="526"/>
      <c r="CP87" s="526"/>
      <c r="CQ87" s="526"/>
      <c r="CR87" s="526"/>
      <c r="CS87" s="526"/>
      <c r="CT87" s="526"/>
      <c r="CU87" s="526"/>
      <c r="CV87" s="526"/>
      <c r="CW87" s="526"/>
      <c r="CX87" s="526"/>
      <c r="CY87" s="526"/>
      <c r="CZ87" s="526"/>
      <c r="DA87" s="526"/>
      <c r="DE87" s="180">
        <v>213</v>
      </c>
    </row>
    <row r="88" spans="1:109" s="124" customFormat="1" ht="48" hidden="1" customHeight="1" x14ac:dyDescent="0.2">
      <c r="A88" s="627" t="s">
        <v>621</v>
      </c>
      <c r="B88" s="628"/>
      <c r="C88" s="628"/>
      <c r="D88" s="628"/>
      <c r="E88" s="628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8"/>
      <c r="Y88" s="628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628"/>
      <c r="BB88" s="628"/>
      <c r="BC88" s="628"/>
      <c r="BD88" s="628"/>
      <c r="BE88" s="628"/>
      <c r="BF88" s="628"/>
      <c r="BG88" s="628"/>
      <c r="BH88" s="628"/>
      <c r="BI88" s="628"/>
      <c r="BJ88" s="628"/>
      <c r="BK88" s="628"/>
      <c r="BL88" s="628"/>
      <c r="BM88" s="628"/>
      <c r="BN88" s="628"/>
      <c r="BO88" s="628"/>
      <c r="BP88" s="628"/>
      <c r="BQ88" s="628"/>
      <c r="BR88" s="628"/>
      <c r="BS88" s="628"/>
      <c r="BT88" s="628"/>
      <c r="BU88" s="628"/>
      <c r="BV88" s="628"/>
      <c r="BW88" s="628"/>
      <c r="BX88" s="628"/>
      <c r="BY88" s="628"/>
      <c r="BZ88" s="628"/>
      <c r="CA88" s="628"/>
      <c r="CB88" s="628"/>
      <c r="CC88" s="628"/>
      <c r="CD88" s="628"/>
      <c r="CE88" s="628"/>
      <c r="CF88" s="628"/>
      <c r="CG88" s="628"/>
      <c r="CH88" s="628"/>
      <c r="CI88" s="628"/>
      <c r="CJ88" s="628"/>
      <c r="CK88" s="628"/>
      <c r="CL88" s="628"/>
      <c r="CM88" s="628"/>
      <c r="CN88" s="628"/>
      <c r="CO88" s="628"/>
      <c r="CP88" s="628"/>
      <c r="CQ88" s="628"/>
      <c r="CR88" s="628"/>
      <c r="CS88" s="628"/>
      <c r="CT88" s="628"/>
      <c r="CU88" s="628"/>
      <c r="CV88" s="628"/>
      <c r="CW88" s="628"/>
      <c r="CX88" s="628"/>
      <c r="CY88" s="628"/>
      <c r="CZ88" s="628"/>
      <c r="DA88" s="628"/>
      <c r="DE88" s="180"/>
    </row>
    <row r="90" spans="1:109" s="248" customFormat="1" ht="14.25" x14ac:dyDescent="0.2">
      <c r="A90" s="527" t="s">
        <v>622</v>
      </c>
      <c r="B90" s="527"/>
      <c r="C90" s="527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  <c r="Y90" s="527"/>
      <c r="Z90" s="527"/>
      <c r="AA90" s="527"/>
      <c r="AB90" s="527"/>
      <c r="AC90" s="527"/>
      <c r="AD90" s="527"/>
      <c r="AE90" s="527"/>
      <c r="AF90" s="527"/>
      <c r="AG90" s="527"/>
      <c r="AH90" s="527"/>
      <c r="AI90" s="527"/>
      <c r="AJ90" s="527"/>
      <c r="AK90" s="527"/>
      <c r="AL90" s="527"/>
      <c r="AM90" s="527"/>
      <c r="AN90" s="527"/>
      <c r="AO90" s="527"/>
      <c r="AP90" s="527"/>
      <c r="AQ90" s="527"/>
      <c r="AR90" s="527"/>
      <c r="AS90" s="527"/>
      <c r="AT90" s="527"/>
      <c r="AU90" s="527"/>
      <c r="AV90" s="527"/>
      <c r="AW90" s="527"/>
      <c r="AX90" s="527"/>
      <c r="AY90" s="527"/>
      <c r="AZ90" s="527"/>
      <c r="BA90" s="527"/>
      <c r="BB90" s="527"/>
      <c r="BC90" s="527"/>
      <c r="BD90" s="527"/>
      <c r="BE90" s="527"/>
      <c r="BF90" s="527"/>
      <c r="BG90" s="527"/>
      <c r="BH90" s="527"/>
      <c r="BI90" s="527"/>
      <c r="BJ90" s="527"/>
      <c r="BK90" s="527"/>
      <c r="BL90" s="527"/>
      <c r="BM90" s="527"/>
      <c r="BN90" s="527"/>
      <c r="BO90" s="527"/>
      <c r="BP90" s="527"/>
      <c r="BQ90" s="527"/>
      <c r="BR90" s="527"/>
      <c r="BS90" s="527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7"/>
      <c r="CE90" s="527"/>
      <c r="CF90" s="527"/>
      <c r="CG90" s="527"/>
      <c r="CH90" s="527"/>
      <c r="CI90" s="527"/>
      <c r="CJ90" s="527"/>
      <c r="CK90" s="527"/>
      <c r="CL90" s="527"/>
      <c r="CM90" s="527"/>
      <c r="CN90" s="527"/>
      <c r="CO90" s="527"/>
      <c r="CP90" s="527"/>
      <c r="CQ90" s="527"/>
      <c r="CR90" s="527"/>
      <c r="CS90" s="527"/>
      <c r="CT90" s="527"/>
      <c r="CU90" s="527"/>
      <c r="CV90" s="527"/>
      <c r="CW90" s="527"/>
      <c r="CX90" s="527"/>
      <c r="CY90" s="527"/>
      <c r="CZ90" s="527"/>
      <c r="DA90" s="527"/>
      <c r="DE90" s="180"/>
    </row>
    <row r="91" spans="1:109" ht="6" customHeight="1" x14ac:dyDescent="0.25"/>
    <row r="92" spans="1:109" ht="30.75" customHeight="1" x14ac:dyDescent="0.25">
      <c r="A92" s="519" t="s">
        <v>406</v>
      </c>
      <c r="B92" s="519"/>
      <c r="C92" s="519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  <c r="AE92" s="519"/>
      <c r="AF92" s="519"/>
      <c r="AG92" s="519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519"/>
      <c r="AU92" s="519"/>
      <c r="AV92" s="519"/>
      <c r="AW92" s="519"/>
      <c r="AX92" s="519"/>
      <c r="AY92" s="519"/>
      <c r="AZ92" s="519"/>
      <c r="BA92" s="519"/>
      <c r="BB92" s="519"/>
      <c r="BC92" s="519"/>
      <c r="BD92" s="519"/>
      <c r="BE92" s="519"/>
      <c r="BF92" s="519"/>
      <c r="BG92" s="519"/>
      <c r="BH92" s="519"/>
      <c r="BI92" s="519"/>
      <c r="BJ92" s="519"/>
      <c r="BK92" s="519"/>
      <c r="BL92" s="519"/>
      <c r="BM92" s="519"/>
      <c r="BN92" s="519"/>
      <c r="BO92" s="519"/>
      <c r="BP92" s="519"/>
      <c r="BQ92" s="519"/>
      <c r="BR92" s="519"/>
      <c r="BS92" s="519"/>
      <c r="BT92" s="519"/>
      <c r="BU92" s="519"/>
      <c r="BV92" s="519"/>
      <c r="BW92" s="519"/>
      <c r="BX92" s="519"/>
      <c r="BY92" s="519"/>
      <c r="BZ92" s="519"/>
      <c r="CA92" s="519"/>
      <c r="CB92" s="519"/>
      <c r="CC92" s="519"/>
      <c r="CD92" s="519"/>
      <c r="CE92" s="519"/>
      <c r="CF92" s="519"/>
      <c r="CG92" s="519"/>
      <c r="CH92" s="519"/>
      <c r="CI92" s="519"/>
      <c r="CJ92" s="519"/>
      <c r="CK92" s="519"/>
      <c r="CL92" s="519"/>
      <c r="CM92" s="519"/>
      <c r="CN92" s="519"/>
      <c r="CO92" s="519"/>
      <c r="CP92" s="519"/>
      <c r="CQ92" s="519"/>
      <c r="CR92" s="519"/>
      <c r="CS92" s="519"/>
      <c r="CT92" s="519"/>
      <c r="CU92" s="519"/>
      <c r="CV92" s="519"/>
      <c r="CW92" s="519"/>
      <c r="CX92" s="519"/>
      <c r="CY92" s="519"/>
      <c r="CZ92" s="519"/>
      <c r="DA92" s="519"/>
      <c r="DB92" s="519"/>
    </row>
    <row r="93" spans="1:109" s="251" customFormat="1" ht="45" customHeight="1" x14ac:dyDescent="0.25">
      <c r="A93" s="520" t="s">
        <v>176</v>
      </c>
      <c r="B93" s="521"/>
      <c r="C93" s="521"/>
      <c r="D93" s="521"/>
      <c r="E93" s="521"/>
      <c r="F93" s="521"/>
      <c r="G93" s="522"/>
      <c r="H93" s="520" t="s">
        <v>225</v>
      </c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1"/>
      <c r="AL93" s="521"/>
      <c r="AM93" s="521"/>
      <c r="AN93" s="521"/>
      <c r="AO93" s="521"/>
      <c r="AP93" s="521"/>
      <c r="AQ93" s="521"/>
      <c r="AR93" s="521"/>
      <c r="AS93" s="521"/>
      <c r="AT93" s="521"/>
      <c r="AU93" s="521"/>
      <c r="AV93" s="521"/>
      <c r="AW93" s="521"/>
      <c r="AX93" s="521"/>
      <c r="AY93" s="521"/>
      <c r="AZ93" s="521"/>
      <c r="BA93" s="521"/>
      <c r="BB93" s="521"/>
      <c r="BC93" s="522"/>
      <c r="BD93" s="520" t="s">
        <v>623</v>
      </c>
      <c r="BE93" s="521"/>
      <c r="BF93" s="521"/>
      <c r="BG93" s="521"/>
      <c r="BH93" s="521"/>
      <c r="BI93" s="521"/>
      <c r="BJ93" s="521"/>
      <c r="BK93" s="521"/>
      <c r="BL93" s="521"/>
      <c r="BM93" s="521"/>
      <c r="BN93" s="521"/>
      <c r="BO93" s="521"/>
      <c r="BP93" s="521"/>
      <c r="BQ93" s="521"/>
      <c r="BR93" s="521"/>
      <c r="BS93" s="522"/>
      <c r="BT93" s="520" t="s">
        <v>624</v>
      </c>
      <c r="BU93" s="521"/>
      <c r="BV93" s="521"/>
      <c r="BW93" s="521"/>
      <c r="BX93" s="521"/>
      <c r="BY93" s="521"/>
      <c r="BZ93" s="521"/>
      <c r="CA93" s="521"/>
      <c r="CB93" s="521"/>
      <c r="CC93" s="521"/>
      <c r="CD93" s="521"/>
      <c r="CE93" s="521"/>
      <c r="CF93" s="521"/>
      <c r="CG93" s="521"/>
      <c r="CH93" s="521"/>
      <c r="CI93" s="522"/>
      <c r="CJ93" s="520" t="s">
        <v>625</v>
      </c>
      <c r="CK93" s="521"/>
      <c r="CL93" s="521"/>
      <c r="CM93" s="521"/>
      <c r="CN93" s="521"/>
      <c r="CO93" s="521"/>
      <c r="CP93" s="521"/>
      <c r="CQ93" s="521"/>
      <c r="CR93" s="521"/>
      <c r="CS93" s="521"/>
      <c r="CT93" s="521"/>
      <c r="CU93" s="521"/>
      <c r="CV93" s="521"/>
      <c r="CW93" s="521"/>
      <c r="CX93" s="521"/>
      <c r="CY93" s="521"/>
      <c r="CZ93" s="521"/>
      <c r="DA93" s="522"/>
      <c r="DE93" s="251" t="s">
        <v>626</v>
      </c>
    </row>
    <row r="94" spans="1:109" s="187" customFormat="1" ht="12.75" x14ac:dyDescent="0.25">
      <c r="A94" s="515">
        <v>1</v>
      </c>
      <c r="B94" s="515"/>
      <c r="C94" s="515"/>
      <c r="D94" s="515"/>
      <c r="E94" s="515"/>
      <c r="F94" s="515"/>
      <c r="G94" s="515"/>
      <c r="H94" s="515">
        <v>2</v>
      </c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  <c r="AA94" s="515"/>
      <c r="AB94" s="515"/>
      <c r="AC94" s="515"/>
      <c r="AD94" s="515"/>
      <c r="AE94" s="515"/>
      <c r="AF94" s="515"/>
      <c r="AG94" s="515"/>
      <c r="AH94" s="515"/>
      <c r="AI94" s="515"/>
      <c r="AJ94" s="515"/>
      <c r="AK94" s="515"/>
      <c r="AL94" s="515"/>
      <c r="AM94" s="515"/>
      <c r="AN94" s="515"/>
      <c r="AO94" s="515"/>
      <c r="AP94" s="515"/>
      <c r="AQ94" s="515"/>
      <c r="AR94" s="515"/>
      <c r="AS94" s="515"/>
      <c r="AT94" s="515"/>
      <c r="AU94" s="515"/>
      <c r="AV94" s="515"/>
      <c r="AW94" s="515"/>
      <c r="AX94" s="515"/>
      <c r="AY94" s="515"/>
      <c r="AZ94" s="515"/>
      <c r="BA94" s="515"/>
      <c r="BB94" s="515"/>
      <c r="BC94" s="515"/>
      <c r="BD94" s="515">
        <v>3</v>
      </c>
      <c r="BE94" s="515"/>
      <c r="BF94" s="515"/>
      <c r="BG94" s="515"/>
      <c r="BH94" s="515"/>
      <c r="BI94" s="515"/>
      <c r="BJ94" s="515"/>
      <c r="BK94" s="515"/>
      <c r="BL94" s="515"/>
      <c r="BM94" s="515"/>
      <c r="BN94" s="515"/>
      <c r="BO94" s="515"/>
      <c r="BP94" s="515"/>
      <c r="BQ94" s="515"/>
      <c r="BR94" s="515"/>
      <c r="BS94" s="515"/>
      <c r="BT94" s="515">
        <v>4</v>
      </c>
      <c r="BU94" s="515"/>
      <c r="BV94" s="515"/>
      <c r="BW94" s="515"/>
      <c r="BX94" s="515"/>
      <c r="BY94" s="515"/>
      <c r="BZ94" s="515"/>
      <c r="CA94" s="515"/>
      <c r="CB94" s="515"/>
      <c r="CC94" s="515"/>
      <c r="CD94" s="515"/>
      <c r="CE94" s="515"/>
      <c r="CF94" s="515"/>
      <c r="CG94" s="515"/>
      <c r="CH94" s="515"/>
      <c r="CI94" s="515"/>
      <c r="CJ94" s="515">
        <v>5</v>
      </c>
      <c r="CK94" s="515"/>
      <c r="CL94" s="515"/>
      <c r="CM94" s="515"/>
      <c r="CN94" s="515"/>
      <c r="CO94" s="515"/>
      <c r="CP94" s="515"/>
      <c r="CQ94" s="515"/>
      <c r="CR94" s="515"/>
      <c r="CS94" s="515"/>
      <c r="CT94" s="515"/>
      <c r="CU94" s="515"/>
      <c r="CV94" s="515"/>
      <c r="CW94" s="515"/>
      <c r="CX94" s="515"/>
      <c r="CY94" s="515"/>
      <c r="CZ94" s="515"/>
      <c r="DA94" s="515"/>
    </row>
    <row r="95" spans="1:109" s="250" customFormat="1" ht="21" customHeight="1" x14ac:dyDescent="0.25">
      <c r="A95" s="508" t="s">
        <v>370</v>
      </c>
      <c r="B95" s="508"/>
      <c r="C95" s="508"/>
      <c r="D95" s="508"/>
      <c r="E95" s="508"/>
      <c r="F95" s="508"/>
      <c r="G95" s="508"/>
      <c r="H95" s="509" t="s">
        <v>627</v>
      </c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  <c r="AA95" s="509"/>
      <c r="AB95" s="509"/>
      <c r="AC95" s="509"/>
      <c r="AD95" s="509"/>
      <c r="AE95" s="509"/>
      <c r="AF95" s="509"/>
      <c r="AG95" s="509"/>
      <c r="AH95" s="509"/>
      <c r="AI95" s="509"/>
      <c r="AJ95" s="509"/>
      <c r="AK95" s="509"/>
      <c r="AL95" s="509"/>
      <c r="AM95" s="509"/>
      <c r="AN95" s="509"/>
      <c r="AO95" s="509"/>
      <c r="AP95" s="509"/>
      <c r="AQ95" s="509"/>
      <c r="AR95" s="509"/>
      <c r="AS95" s="509"/>
      <c r="AT95" s="509"/>
      <c r="AU95" s="509"/>
      <c r="AV95" s="509"/>
      <c r="AW95" s="509"/>
      <c r="AX95" s="509"/>
      <c r="AY95" s="509"/>
      <c r="AZ95" s="509"/>
      <c r="BA95" s="509"/>
      <c r="BB95" s="509"/>
      <c r="BC95" s="509"/>
      <c r="BD95" s="510">
        <v>10000</v>
      </c>
      <c r="BE95" s="510"/>
      <c r="BF95" s="510"/>
      <c r="BG95" s="510"/>
      <c r="BH95" s="510"/>
      <c r="BI95" s="510"/>
      <c r="BJ95" s="510"/>
      <c r="BK95" s="510"/>
      <c r="BL95" s="510"/>
      <c r="BM95" s="510"/>
      <c r="BN95" s="510"/>
      <c r="BO95" s="510"/>
      <c r="BP95" s="510"/>
      <c r="BQ95" s="510"/>
      <c r="BR95" s="510"/>
      <c r="BS95" s="510"/>
      <c r="BT95" s="510">
        <v>12</v>
      </c>
      <c r="BU95" s="510"/>
      <c r="BV95" s="510"/>
      <c r="BW95" s="510"/>
      <c r="BX95" s="510"/>
      <c r="BY95" s="510"/>
      <c r="BZ95" s="510"/>
      <c r="CA95" s="510"/>
      <c r="CB95" s="510"/>
      <c r="CC95" s="510"/>
      <c r="CD95" s="510"/>
      <c r="CE95" s="510"/>
      <c r="CF95" s="510"/>
      <c r="CG95" s="510"/>
      <c r="CH95" s="510"/>
      <c r="CI95" s="510"/>
      <c r="CJ95" s="511"/>
      <c r="CK95" s="511"/>
      <c r="CL95" s="511"/>
      <c r="CM95" s="511"/>
      <c r="CN95" s="511"/>
      <c r="CO95" s="511"/>
      <c r="CP95" s="511"/>
      <c r="CQ95" s="511"/>
      <c r="CR95" s="511"/>
      <c r="CS95" s="511"/>
      <c r="CT95" s="511"/>
      <c r="CU95" s="511"/>
      <c r="CV95" s="511"/>
      <c r="CW95" s="511"/>
      <c r="CX95" s="511"/>
      <c r="CY95" s="511"/>
      <c r="CZ95" s="511"/>
      <c r="DA95" s="511"/>
    </row>
    <row r="96" spans="1:109" s="250" customFormat="1" ht="21" customHeight="1" x14ac:dyDescent="0.25">
      <c r="A96" s="508" t="s">
        <v>377</v>
      </c>
      <c r="B96" s="508"/>
      <c r="C96" s="508"/>
      <c r="D96" s="508"/>
      <c r="E96" s="508"/>
      <c r="F96" s="508"/>
      <c r="G96" s="508"/>
      <c r="H96" s="509" t="s">
        <v>628</v>
      </c>
      <c r="I96" s="509"/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09"/>
      <c r="X96" s="509"/>
      <c r="Y96" s="509"/>
      <c r="Z96" s="509"/>
      <c r="AA96" s="509"/>
      <c r="AB96" s="509"/>
      <c r="AC96" s="509"/>
      <c r="AD96" s="509"/>
      <c r="AE96" s="509"/>
      <c r="AF96" s="509"/>
      <c r="AG96" s="509"/>
      <c r="AH96" s="509"/>
      <c r="AI96" s="509"/>
      <c r="AJ96" s="509"/>
      <c r="AK96" s="509"/>
      <c r="AL96" s="509"/>
      <c r="AM96" s="509"/>
      <c r="AN96" s="509"/>
      <c r="AO96" s="509"/>
      <c r="AP96" s="509"/>
      <c r="AQ96" s="509"/>
      <c r="AR96" s="509"/>
      <c r="AS96" s="509"/>
      <c r="AT96" s="509"/>
      <c r="AU96" s="509"/>
      <c r="AV96" s="509"/>
      <c r="AW96" s="509"/>
      <c r="AX96" s="509"/>
      <c r="AY96" s="509"/>
      <c r="AZ96" s="509"/>
      <c r="BA96" s="509"/>
      <c r="BB96" s="509"/>
      <c r="BC96" s="509"/>
      <c r="BD96" s="510">
        <v>1200</v>
      </c>
      <c r="BE96" s="510"/>
      <c r="BF96" s="510"/>
      <c r="BG96" s="510"/>
      <c r="BH96" s="510"/>
      <c r="BI96" s="510"/>
      <c r="BJ96" s="510"/>
      <c r="BK96" s="510"/>
      <c r="BL96" s="510"/>
      <c r="BM96" s="510"/>
      <c r="BN96" s="510"/>
      <c r="BO96" s="510"/>
      <c r="BP96" s="510"/>
      <c r="BQ96" s="510"/>
      <c r="BR96" s="510"/>
      <c r="BS96" s="510"/>
      <c r="BT96" s="510">
        <v>12</v>
      </c>
      <c r="BU96" s="510"/>
      <c r="BV96" s="510"/>
      <c r="BW96" s="510"/>
      <c r="BX96" s="510"/>
      <c r="BY96" s="510"/>
      <c r="BZ96" s="510"/>
      <c r="CA96" s="510"/>
      <c r="CB96" s="510"/>
      <c r="CC96" s="510"/>
      <c r="CD96" s="510"/>
      <c r="CE96" s="510"/>
      <c r="CF96" s="510"/>
      <c r="CG96" s="510"/>
      <c r="CH96" s="510"/>
      <c r="CI96" s="510"/>
      <c r="CJ96" s="511">
        <v>97700</v>
      </c>
      <c r="CK96" s="511"/>
      <c r="CL96" s="511"/>
      <c r="CM96" s="511"/>
      <c r="CN96" s="511"/>
      <c r="CO96" s="511"/>
      <c r="CP96" s="511"/>
      <c r="CQ96" s="511"/>
      <c r="CR96" s="511"/>
      <c r="CS96" s="511"/>
      <c r="CT96" s="511"/>
      <c r="CU96" s="511"/>
      <c r="CV96" s="511"/>
      <c r="CW96" s="511"/>
      <c r="CX96" s="511"/>
      <c r="CY96" s="511"/>
      <c r="CZ96" s="511"/>
      <c r="DA96" s="511"/>
    </row>
    <row r="97" spans="1:109" s="250" customFormat="1" ht="15" customHeight="1" x14ac:dyDescent="0.25">
      <c r="A97" s="508"/>
      <c r="B97" s="508"/>
      <c r="C97" s="508"/>
      <c r="D97" s="508"/>
      <c r="E97" s="508"/>
      <c r="F97" s="508"/>
      <c r="G97" s="508"/>
      <c r="H97" s="512" t="s">
        <v>521</v>
      </c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  <c r="AA97" s="512"/>
      <c r="AB97" s="512"/>
      <c r="AC97" s="512"/>
      <c r="AD97" s="512"/>
      <c r="AE97" s="512"/>
      <c r="AF97" s="512"/>
      <c r="AG97" s="512"/>
      <c r="AH97" s="512"/>
      <c r="AI97" s="512"/>
      <c r="AJ97" s="512"/>
      <c r="AK97" s="512"/>
      <c r="AL97" s="512"/>
      <c r="AM97" s="512"/>
      <c r="AN97" s="512"/>
      <c r="AO97" s="512"/>
      <c r="AP97" s="512"/>
      <c r="AQ97" s="512"/>
      <c r="AR97" s="512"/>
      <c r="AS97" s="512"/>
      <c r="AT97" s="512"/>
      <c r="AU97" s="512"/>
      <c r="AV97" s="512"/>
      <c r="AW97" s="512"/>
      <c r="AX97" s="512"/>
      <c r="AY97" s="512"/>
      <c r="AZ97" s="512"/>
      <c r="BA97" s="512"/>
      <c r="BB97" s="512"/>
      <c r="BC97" s="513"/>
      <c r="BD97" s="510" t="s">
        <v>494</v>
      </c>
      <c r="BE97" s="510"/>
      <c r="BF97" s="510"/>
      <c r="BG97" s="510"/>
      <c r="BH97" s="510"/>
      <c r="BI97" s="510"/>
      <c r="BJ97" s="510"/>
      <c r="BK97" s="510"/>
      <c r="BL97" s="510"/>
      <c r="BM97" s="510"/>
      <c r="BN97" s="510"/>
      <c r="BO97" s="510"/>
      <c r="BP97" s="510"/>
      <c r="BQ97" s="510"/>
      <c r="BR97" s="510"/>
      <c r="BS97" s="510"/>
      <c r="BT97" s="510" t="s">
        <v>494</v>
      </c>
      <c r="BU97" s="510"/>
      <c r="BV97" s="510"/>
      <c r="BW97" s="510"/>
      <c r="BX97" s="510"/>
      <c r="BY97" s="510"/>
      <c r="BZ97" s="510"/>
      <c r="CA97" s="510"/>
      <c r="CB97" s="510"/>
      <c r="CC97" s="510"/>
      <c r="CD97" s="510"/>
      <c r="CE97" s="510"/>
      <c r="CF97" s="510"/>
      <c r="CG97" s="510"/>
      <c r="CH97" s="510"/>
      <c r="CI97" s="510"/>
      <c r="CJ97" s="514">
        <f>ROUND((CJ95+CJ96),-2)</f>
        <v>97700</v>
      </c>
      <c r="CK97" s="514"/>
      <c r="CL97" s="514"/>
      <c r="CM97" s="514"/>
      <c r="CN97" s="514"/>
      <c r="CO97" s="514"/>
      <c r="CP97" s="514"/>
      <c r="CQ97" s="514"/>
      <c r="CR97" s="514"/>
      <c r="CS97" s="514"/>
      <c r="CT97" s="514"/>
      <c r="CU97" s="514"/>
      <c r="CV97" s="514"/>
      <c r="CW97" s="514"/>
      <c r="CX97" s="514"/>
      <c r="CY97" s="514"/>
      <c r="CZ97" s="514"/>
      <c r="DA97" s="514"/>
    </row>
    <row r="98" spans="1:109" s="180" customFormat="1" ht="12" customHeight="1" x14ac:dyDescent="0.2"/>
    <row r="99" spans="1:109" s="248" customFormat="1" ht="14.25" x14ac:dyDescent="0.2">
      <c r="A99" s="527" t="s">
        <v>629</v>
      </c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I99" s="527"/>
      <c r="AJ99" s="527"/>
      <c r="AK99" s="527"/>
      <c r="AL99" s="527"/>
      <c r="AM99" s="527"/>
      <c r="AN99" s="527"/>
      <c r="AO99" s="527"/>
      <c r="AP99" s="527"/>
      <c r="AQ99" s="527"/>
      <c r="AR99" s="527"/>
      <c r="AS99" s="527"/>
      <c r="AT99" s="527"/>
      <c r="AU99" s="527"/>
      <c r="AV99" s="527"/>
      <c r="AW99" s="527"/>
      <c r="AX99" s="527"/>
      <c r="AY99" s="527"/>
      <c r="AZ99" s="527"/>
      <c r="BA99" s="527"/>
      <c r="BB99" s="527"/>
      <c r="BC99" s="527"/>
      <c r="BD99" s="527"/>
      <c r="BE99" s="527"/>
      <c r="BF99" s="527"/>
      <c r="BG99" s="527"/>
      <c r="BH99" s="527"/>
      <c r="BI99" s="527"/>
      <c r="BJ99" s="527"/>
      <c r="BK99" s="527"/>
      <c r="BL99" s="527"/>
      <c r="BM99" s="527"/>
      <c r="BN99" s="527"/>
      <c r="BO99" s="527"/>
      <c r="BP99" s="527"/>
      <c r="BQ99" s="527"/>
      <c r="BR99" s="527"/>
      <c r="BS99" s="527"/>
      <c r="BT99" s="527"/>
      <c r="BU99" s="527"/>
      <c r="BV99" s="527"/>
      <c r="BW99" s="527"/>
      <c r="BX99" s="527"/>
      <c r="BY99" s="527"/>
      <c r="BZ99" s="527"/>
      <c r="CA99" s="527"/>
      <c r="CB99" s="527"/>
      <c r="CC99" s="527"/>
      <c r="CD99" s="527"/>
      <c r="CE99" s="527"/>
      <c r="CF99" s="527"/>
      <c r="CG99" s="527"/>
      <c r="CH99" s="527"/>
      <c r="CI99" s="527"/>
      <c r="CJ99" s="527"/>
      <c r="CK99" s="527"/>
      <c r="CL99" s="527"/>
      <c r="CM99" s="527"/>
      <c r="CN99" s="527"/>
      <c r="CO99" s="527"/>
      <c r="CP99" s="527"/>
      <c r="CQ99" s="527"/>
      <c r="CR99" s="527"/>
      <c r="CS99" s="527"/>
      <c r="CT99" s="527"/>
      <c r="CU99" s="527"/>
      <c r="CV99" s="527"/>
      <c r="CW99" s="527"/>
      <c r="CX99" s="527"/>
      <c r="CY99" s="527"/>
      <c r="CZ99" s="527"/>
      <c r="DA99" s="527"/>
      <c r="DE99" s="180"/>
    </row>
    <row r="100" spans="1:109" ht="6" customHeight="1" x14ac:dyDescent="0.25"/>
    <row r="101" spans="1:109" s="248" customFormat="1" ht="26.25" customHeight="1" x14ac:dyDescent="0.2">
      <c r="A101" s="519" t="s">
        <v>630</v>
      </c>
      <c r="B101" s="519"/>
      <c r="C101" s="519"/>
      <c r="D101" s="519"/>
      <c r="E101" s="519"/>
      <c r="F101" s="519"/>
      <c r="G101" s="519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  <c r="AE101" s="519"/>
      <c r="AF101" s="519"/>
      <c r="AG101" s="519"/>
      <c r="AH101" s="519"/>
      <c r="AI101" s="519"/>
      <c r="AJ101" s="519"/>
      <c r="AK101" s="519"/>
      <c r="AL101" s="519"/>
      <c r="AM101" s="519"/>
      <c r="AN101" s="519"/>
      <c r="AO101" s="519"/>
      <c r="AP101" s="519"/>
      <c r="AQ101" s="519"/>
      <c r="AR101" s="519"/>
      <c r="AS101" s="519"/>
      <c r="AT101" s="519"/>
      <c r="AU101" s="519"/>
      <c r="AV101" s="519"/>
      <c r="AW101" s="519"/>
      <c r="AX101" s="519"/>
      <c r="AY101" s="519"/>
      <c r="AZ101" s="519"/>
      <c r="BA101" s="519"/>
      <c r="BB101" s="519"/>
      <c r="BC101" s="519"/>
      <c r="BD101" s="519"/>
      <c r="BE101" s="519"/>
      <c r="BF101" s="519"/>
      <c r="BG101" s="519"/>
      <c r="BH101" s="519"/>
      <c r="BI101" s="519"/>
      <c r="BJ101" s="519"/>
      <c r="BK101" s="519"/>
      <c r="BL101" s="519"/>
      <c r="BM101" s="519"/>
      <c r="BN101" s="519"/>
      <c r="BO101" s="519"/>
      <c r="BP101" s="519"/>
      <c r="BQ101" s="519"/>
      <c r="BR101" s="519"/>
      <c r="BS101" s="519"/>
      <c r="BT101" s="519"/>
      <c r="BU101" s="519"/>
      <c r="BV101" s="519"/>
      <c r="BW101" s="519"/>
      <c r="BX101" s="519"/>
      <c r="BY101" s="519"/>
      <c r="BZ101" s="519"/>
      <c r="CA101" s="519"/>
      <c r="CB101" s="519"/>
      <c r="CC101" s="519"/>
      <c r="CD101" s="519"/>
      <c r="CE101" s="519"/>
      <c r="CF101" s="519"/>
      <c r="CG101" s="519"/>
      <c r="CH101" s="519"/>
      <c r="CI101" s="519"/>
      <c r="CJ101" s="519"/>
      <c r="CK101" s="519"/>
      <c r="CL101" s="519"/>
      <c r="CM101" s="519"/>
      <c r="CN101" s="519"/>
      <c r="CO101" s="519"/>
      <c r="CP101" s="519"/>
      <c r="CQ101" s="519"/>
      <c r="CR101" s="519"/>
      <c r="CS101" s="519"/>
      <c r="CT101" s="519"/>
      <c r="CU101" s="519"/>
      <c r="CV101" s="519"/>
      <c r="CW101" s="519"/>
      <c r="CX101" s="519"/>
      <c r="CY101" s="519"/>
      <c r="CZ101" s="519"/>
      <c r="DA101" s="519"/>
      <c r="DE101" s="180"/>
    </row>
    <row r="102" spans="1:109" s="248" customFormat="1" ht="6" customHeight="1" x14ac:dyDescent="0.2"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272"/>
      <c r="BC102" s="272"/>
      <c r="BD102" s="272"/>
      <c r="BE102" s="272"/>
      <c r="BF102" s="272"/>
      <c r="BG102" s="272"/>
      <c r="BH102" s="272"/>
      <c r="BI102" s="272"/>
      <c r="BJ102" s="272"/>
      <c r="BK102" s="272"/>
      <c r="BL102" s="272"/>
      <c r="BM102" s="272"/>
      <c r="BN102" s="272"/>
      <c r="BO102" s="272"/>
      <c r="BP102" s="272"/>
      <c r="BQ102" s="272"/>
      <c r="BR102" s="272"/>
      <c r="BS102" s="272"/>
      <c r="BT102" s="272"/>
      <c r="BU102" s="272"/>
      <c r="BV102" s="272"/>
      <c r="BW102" s="272"/>
      <c r="BX102" s="272"/>
      <c r="BY102" s="272"/>
      <c r="BZ102" s="272"/>
      <c r="CA102" s="272"/>
      <c r="CB102" s="272"/>
      <c r="CC102" s="272"/>
      <c r="CD102" s="272"/>
      <c r="CE102" s="272"/>
      <c r="CF102" s="272"/>
      <c r="CG102" s="272"/>
      <c r="CH102" s="272"/>
      <c r="CI102" s="272"/>
      <c r="CJ102" s="272"/>
      <c r="CK102" s="272"/>
      <c r="CL102" s="272"/>
      <c r="CM102" s="272"/>
      <c r="CN102" s="272"/>
      <c r="CO102" s="272"/>
      <c r="CP102" s="272"/>
      <c r="CQ102" s="272"/>
      <c r="CR102" s="272"/>
      <c r="CS102" s="272"/>
      <c r="CT102" s="272"/>
      <c r="CU102" s="272"/>
      <c r="CV102" s="272"/>
      <c r="CW102" s="272"/>
      <c r="CX102" s="272"/>
      <c r="CY102" s="272"/>
      <c r="CZ102" s="272"/>
      <c r="DA102" s="272"/>
      <c r="DE102" s="180"/>
    </row>
    <row r="103" spans="1:109" ht="10.5" customHeight="1" x14ac:dyDescent="0.25"/>
    <row r="104" spans="1:109" s="251" customFormat="1" ht="45" customHeight="1" x14ac:dyDescent="0.25">
      <c r="A104" s="520" t="s">
        <v>176</v>
      </c>
      <c r="B104" s="521"/>
      <c r="C104" s="521"/>
      <c r="D104" s="521"/>
      <c r="E104" s="521"/>
      <c r="F104" s="521"/>
      <c r="G104" s="522"/>
      <c r="H104" s="520" t="s">
        <v>225</v>
      </c>
      <c r="I104" s="521"/>
      <c r="J104" s="521"/>
      <c r="K104" s="521"/>
      <c r="L104" s="521"/>
      <c r="M104" s="521"/>
      <c r="N104" s="521"/>
      <c r="O104" s="521"/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1"/>
      <c r="AL104" s="521"/>
      <c r="AM104" s="521"/>
      <c r="AN104" s="521"/>
      <c r="AO104" s="521"/>
      <c r="AP104" s="521"/>
      <c r="AQ104" s="521"/>
      <c r="AR104" s="521"/>
      <c r="AS104" s="521"/>
      <c r="AT104" s="521"/>
      <c r="AU104" s="521"/>
      <c r="AV104" s="521"/>
      <c r="AW104" s="521"/>
      <c r="AX104" s="521"/>
      <c r="AY104" s="521"/>
      <c r="AZ104" s="521"/>
      <c r="BA104" s="521"/>
      <c r="BB104" s="521"/>
      <c r="BC104" s="522"/>
      <c r="BD104" s="520" t="s">
        <v>623</v>
      </c>
      <c r="BE104" s="521"/>
      <c r="BF104" s="521"/>
      <c r="BG104" s="521"/>
      <c r="BH104" s="521"/>
      <c r="BI104" s="521"/>
      <c r="BJ104" s="521"/>
      <c r="BK104" s="521"/>
      <c r="BL104" s="521"/>
      <c r="BM104" s="521"/>
      <c r="BN104" s="521"/>
      <c r="BO104" s="521"/>
      <c r="BP104" s="521"/>
      <c r="BQ104" s="521"/>
      <c r="BR104" s="521"/>
      <c r="BS104" s="522"/>
      <c r="BT104" s="520" t="s">
        <v>624</v>
      </c>
      <c r="BU104" s="521"/>
      <c r="BV104" s="521"/>
      <c r="BW104" s="521"/>
      <c r="BX104" s="521"/>
      <c r="BY104" s="521"/>
      <c r="BZ104" s="521"/>
      <c r="CA104" s="521"/>
      <c r="CB104" s="521"/>
      <c r="CC104" s="521"/>
      <c r="CD104" s="521"/>
      <c r="CE104" s="521"/>
      <c r="CF104" s="521"/>
      <c r="CG104" s="521"/>
      <c r="CH104" s="521"/>
      <c r="CI104" s="522"/>
      <c r="CJ104" s="520" t="s">
        <v>625</v>
      </c>
      <c r="CK104" s="521"/>
      <c r="CL104" s="521"/>
      <c r="CM104" s="521"/>
      <c r="CN104" s="521"/>
      <c r="CO104" s="521"/>
      <c r="CP104" s="521"/>
      <c r="CQ104" s="521"/>
      <c r="CR104" s="521"/>
      <c r="CS104" s="521"/>
      <c r="CT104" s="521"/>
      <c r="CU104" s="521"/>
      <c r="CV104" s="521"/>
      <c r="CW104" s="521"/>
      <c r="CX104" s="521"/>
      <c r="CY104" s="521"/>
      <c r="CZ104" s="521"/>
      <c r="DA104" s="522"/>
      <c r="DE104" s="251" t="s">
        <v>631</v>
      </c>
    </row>
    <row r="105" spans="1:109" s="187" customFormat="1" ht="12.75" x14ac:dyDescent="0.25">
      <c r="A105" s="515">
        <v>1</v>
      </c>
      <c r="B105" s="515"/>
      <c r="C105" s="515"/>
      <c r="D105" s="515"/>
      <c r="E105" s="515"/>
      <c r="F105" s="515"/>
      <c r="G105" s="515"/>
      <c r="H105" s="515">
        <v>2</v>
      </c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5"/>
      <c r="AC105" s="515"/>
      <c r="AD105" s="515"/>
      <c r="AE105" s="515"/>
      <c r="AF105" s="515"/>
      <c r="AG105" s="515"/>
      <c r="AH105" s="515"/>
      <c r="AI105" s="515"/>
      <c r="AJ105" s="515"/>
      <c r="AK105" s="515"/>
      <c r="AL105" s="515"/>
      <c r="AM105" s="515"/>
      <c r="AN105" s="515"/>
      <c r="AO105" s="515"/>
      <c r="AP105" s="515"/>
      <c r="AQ105" s="515"/>
      <c r="AR105" s="515"/>
      <c r="AS105" s="515"/>
      <c r="AT105" s="515"/>
      <c r="AU105" s="515"/>
      <c r="AV105" s="515"/>
      <c r="AW105" s="515"/>
      <c r="AX105" s="515"/>
      <c r="AY105" s="515"/>
      <c r="AZ105" s="515"/>
      <c r="BA105" s="515"/>
      <c r="BB105" s="515"/>
      <c r="BC105" s="515"/>
      <c r="BD105" s="515">
        <v>3</v>
      </c>
      <c r="BE105" s="515"/>
      <c r="BF105" s="515"/>
      <c r="BG105" s="515"/>
      <c r="BH105" s="515"/>
      <c r="BI105" s="515"/>
      <c r="BJ105" s="515"/>
      <c r="BK105" s="515"/>
      <c r="BL105" s="515"/>
      <c r="BM105" s="515"/>
      <c r="BN105" s="515"/>
      <c r="BO105" s="515"/>
      <c r="BP105" s="515"/>
      <c r="BQ105" s="515"/>
      <c r="BR105" s="515"/>
      <c r="BS105" s="515"/>
      <c r="BT105" s="515">
        <v>4</v>
      </c>
      <c r="BU105" s="515"/>
      <c r="BV105" s="515"/>
      <c r="BW105" s="515"/>
      <c r="BX105" s="515"/>
      <c r="BY105" s="515"/>
      <c r="BZ105" s="515"/>
      <c r="CA105" s="515"/>
      <c r="CB105" s="515"/>
      <c r="CC105" s="515"/>
      <c r="CD105" s="515"/>
      <c r="CE105" s="515"/>
      <c r="CF105" s="515"/>
      <c r="CG105" s="515"/>
      <c r="CH105" s="515"/>
      <c r="CI105" s="515"/>
      <c r="CJ105" s="515">
        <v>5</v>
      </c>
      <c r="CK105" s="515"/>
      <c r="CL105" s="515"/>
      <c r="CM105" s="515"/>
      <c r="CN105" s="515"/>
      <c r="CO105" s="515"/>
      <c r="CP105" s="515"/>
      <c r="CQ105" s="515"/>
      <c r="CR105" s="515"/>
      <c r="CS105" s="515"/>
      <c r="CT105" s="515"/>
      <c r="CU105" s="515"/>
      <c r="CV105" s="515"/>
      <c r="CW105" s="515"/>
      <c r="CX105" s="515"/>
      <c r="CY105" s="515"/>
      <c r="CZ105" s="515"/>
      <c r="DA105" s="515"/>
    </row>
    <row r="106" spans="1:109" s="250" customFormat="1" ht="22.5" customHeight="1" x14ac:dyDescent="0.25">
      <c r="A106" s="508" t="s">
        <v>370</v>
      </c>
      <c r="B106" s="508"/>
      <c r="C106" s="508"/>
      <c r="D106" s="508"/>
      <c r="E106" s="508"/>
      <c r="F106" s="508"/>
      <c r="G106" s="508"/>
      <c r="H106" s="509" t="s">
        <v>632</v>
      </c>
      <c r="I106" s="509"/>
      <c r="J106" s="509"/>
      <c r="K106" s="509"/>
      <c r="L106" s="509"/>
      <c r="M106" s="509"/>
      <c r="N106" s="509"/>
      <c r="O106" s="509"/>
      <c r="P106" s="509"/>
      <c r="Q106" s="509"/>
      <c r="R106" s="509"/>
      <c r="S106" s="509"/>
      <c r="T106" s="509"/>
      <c r="U106" s="509"/>
      <c r="V106" s="509"/>
      <c r="W106" s="509"/>
      <c r="X106" s="509"/>
      <c r="Y106" s="509"/>
      <c r="Z106" s="509"/>
      <c r="AA106" s="509"/>
      <c r="AB106" s="509"/>
      <c r="AC106" s="509"/>
      <c r="AD106" s="509"/>
      <c r="AE106" s="509"/>
      <c r="AF106" s="509"/>
      <c r="AG106" s="509"/>
      <c r="AH106" s="509"/>
      <c r="AI106" s="509"/>
      <c r="AJ106" s="509"/>
      <c r="AK106" s="509"/>
      <c r="AL106" s="509"/>
      <c r="AM106" s="509"/>
      <c r="AN106" s="509"/>
      <c r="AO106" s="509"/>
      <c r="AP106" s="509"/>
      <c r="AQ106" s="509"/>
      <c r="AR106" s="509"/>
      <c r="AS106" s="509"/>
      <c r="AT106" s="509"/>
      <c r="AU106" s="509"/>
      <c r="AV106" s="509"/>
      <c r="AW106" s="509"/>
      <c r="AX106" s="509"/>
      <c r="AY106" s="509"/>
      <c r="AZ106" s="509"/>
      <c r="BA106" s="509"/>
      <c r="BB106" s="509"/>
      <c r="BC106" s="509"/>
      <c r="BD106" s="510">
        <v>2400</v>
      </c>
      <c r="BE106" s="510"/>
      <c r="BF106" s="510"/>
      <c r="BG106" s="510"/>
      <c r="BH106" s="510"/>
      <c r="BI106" s="510"/>
      <c r="BJ106" s="510"/>
      <c r="BK106" s="510"/>
      <c r="BL106" s="510"/>
      <c r="BM106" s="510"/>
      <c r="BN106" s="510"/>
      <c r="BO106" s="510"/>
      <c r="BP106" s="510"/>
      <c r="BQ106" s="510"/>
      <c r="BR106" s="510"/>
      <c r="BS106" s="510"/>
      <c r="BT106" s="510">
        <v>3</v>
      </c>
      <c r="BU106" s="510"/>
      <c r="BV106" s="510"/>
      <c r="BW106" s="510"/>
      <c r="BX106" s="510"/>
      <c r="BY106" s="510"/>
      <c r="BZ106" s="510"/>
      <c r="CA106" s="510"/>
      <c r="CB106" s="510"/>
      <c r="CC106" s="510"/>
      <c r="CD106" s="510"/>
      <c r="CE106" s="510"/>
      <c r="CF106" s="510"/>
      <c r="CG106" s="510"/>
      <c r="CH106" s="510"/>
      <c r="CI106" s="510"/>
      <c r="CJ106" s="511">
        <f>BD106*BT106</f>
        <v>7200</v>
      </c>
      <c r="CK106" s="511"/>
      <c r="CL106" s="511"/>
      <c r="CM106" s="511"/>
      <c r="CN106" s="511"/>
      <c r="CO106" s="511"/>
      <c r="CP106" s="511"/>
      <c r="CQ106" s="511"/>
      <c r="CR106" s="511"/>
      <c r="CS106" s="511"/>
      <c r="CT106" s="511"/>
      <c r="CU106" s="511"/>
      <c r="CV106" s="511"/>
      <c r="CW106" s="511"/>
      <c r="CX106" s="511"/>
      <c r="CY106" s="511"/>
      <c r="CZ106" s="511"/>
      <c r="DA106" s="511"/>
    </row>
    <row r="107" spans="1:109" s="250" customFormat="1" ht="22.5" customHeight="1" x14ac:dyDescent="0.25">
      <c r="A107" s="508" t="s">
        <v>377</v>
      </c>
      <c r="B107" s="508"/>
      <c r="C107" s="508"/>
      <c r="D107" s="508"/>
      <c r="E107" s="508"/>
      <c r="F107" s="508"/>
      <c r="G107" s="508"/>
      <c r="H107" s="509" t="s">
        <v>633</v>
      </c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  <c r="Z107" s="509"/>
      <c r="AA107" s="509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509"/>
      <c r="AL107" s="509"/>
      <c r="AM107" s="509"/>
      <c r="AN107" s="509"/>
      <c r="AO107" s="509"/>
      <c r="AP107" s="509"/>
      <c r="AQ107" s="509"/>
      <c r="AR107" s="509"/>
      <c r="AS107" s="509"/>
      <c r="AT107" s="509"/>
      <c r="AU107" s="509"/>
      <c r="AV107" s="509"/>
      <c r="AW107" s="509"/>
      <c r="AX107" s="509"/>
      <c r="AY107" s="509"/>
      <c r="AZ107" s="509"/>
      <c r="BA107" s="509"/>
      <c r="BB107" s="509"/>
      <c r="BC107" s="509"/>
      <c r="BD107" s="510">
        <v>3600</v>
      </c>
      <c r="BE107" s="510"/>
      <c r="BF107" s="510"/>
      <c r="BG107" s="510"/>
      <c r="BH107" s="510"/>
      <c r="BI107" s="510"/>
      <c r="BJ107" s="510"/>
      <c r="BK107" s="510"/>
      <c r="BL107" s="510"/>
      <c r="BM107" s="510"/>
      <c r="BN107" s="510"/>
      <c r="BO107" s="510"/>
      <c r="BP107" s="510"/>
      <c r="BQ107" s="510"/>
      <c r="BR107" s="510"/>
      <c r="BS107" s="510"/>
      <c r="BT107" s="510">
        <v>2</v>
      </c>
      <c r="BU107" s="510"/>
      <c r="BV107" s="510"/>
      <c r="BW107" s="510"/>
      <c r="BX107" s="510"/>
      <c r="BY107" s="510"/>
      <c r="BZ107" s="510"/>
      <c r="CA107" s="510"/>
      <c r="CB107" s="510"/>
      <c r="CC107" s="510"/>
      <c r="CD107" s="510"/>
      <c r="CE107" s="510"/>
      <c r="CF107" s="510"/>
      <c r="CG107" s="510"/>
      <c r="CH107" s="510"/>
      <c r="CI107" s="510"/>
      <c r="CJ107" s="511">
        <f>BD107*BT107</f>
        <v>7200</v>
      </c>
      <c r="CK107" s="511"/>
      <c r="CL107" s="511"/>
      <c r="CM107" s="511"/>
      <c r="CN107" s="511"/>
      <c r="CO107" s="511"/>
      <c r="CP107" s="511"/>
      <c r="CQ107" s="511"/>
      <c r="CR107" s="511"/>
      <c r="CS107" s="511"/>
      <c r="CT107" s="511"/>
      <c r="CU107" s="511"/>
      <c r="CV107" s="511"/>
      <c r="CW107" s="511"/>
      <c r="CX107" s="511"/>
      <c r="CY107" s="511"/>
      <c r="CZ107" s="511"/>
      <c r="DA107" s="511"/>
    </row>
    <row r="108" spans="1:109" s="250" customFormat="1" ht="22.5" customHeight="1" x14ac:dyDescent="0.25">
      <c r="A108" s="508" t="s">
        <v>394</v>
      </c>
      <c r="B108" s="508"/>
      <c r="C108" s="508"/>
      <c r="D108" s="508"/>
      <c r="E108" s="508"/>
      <c r="F108" s="508"/>
      <c r="G108" s="508"/>
      <c r="H108" s="509" t="s">
        <v>634</v>
      </c>
      <c r="I108" s="509"/>
      <c r="J108" s="509"/>
      <c r="K108" s="509"/>
      <c r="L108" s="509"/>
      <c r="M108" s="509"/>
      <c r="N108" s="509"/>
      <c r="O108" s="509"/>
      <c r="P108" s="509"/>
      <c r="Q108" s="509"/>
      <c r="R108" s="509"/>
      <c r="S108" s="509"/>
      <c r="T108" s="509"/>
      <c r="U108" s="509"/>
      <c r="V108" s="509"/>
      <c r="W108" s="509"/>
      <c r="X108" s="509"/>
      <c r="Y108" s="509"/>
      <c r="Z108" s="509"/>
      <c r="AA108" s="509"/>
      <c r="AB108" s="509"/>
      <c r="AC108" s="509"/>
      <c r="AD108" s="509"/>
      <c r="AE108" s="509"/>
      <c r="AF108" s="509"/>
      <c r="AG108" s="509"/>
      <c r="AH108" s="509"/>
      <c r="AI108" s="509"/>
      <c r="AJ108" s="509"/>
      <c r="AK108" s="509"/>
      <c r="AL108" s="509"/>
      <c r="AM108" s="509"/>
      <c r="AN108" s="509"/>
      <c r="AO108" s="509"/>
      <c r="AP108" s="509"/>
      <c r="AQ108" s="509"/>
      <c r="AR108" s="509"/>
      <c r="AS108" s="509"/>
      <c r="AT108" s="509"/>
      <c r="AU108" s="509"/>
      <c r="AV108" s="509"/>
      <c r="AW108" s="509"/>
      <c r="AX108" s="509"/>
      <c r="AY108" s="509"/>
      <c r="AZ108" s="509"/>
      <c r="BA108" s="509"/>
      <c r="BB108" s="509"/>
      <c r="BC108" s="509"/>
      <c r="BD108" s="510">
        <v>4800</v>
      </c>
      <c r="BE108" s="510"/>
      <c r="BF108" s="510"/>
      <c r="BG108" s="510"/>
      <c r="BH108" s="510"/>
      <c r="BI108" s="510"/>
      <c r="BJ108" s="510"/>
      <c r="BK108" s="510"/>
      <c r="BL108" s="510"/>
      <c r="BM108" s="510"/>
      <c r="BN108" s="510"/>
      <c r="BO108" s="510"/>
      <c r="BP108" s="510"/>
      <c r="BQ108" s="510"/>
      <c r="BR108" s="510"/>
      <c r="BS108" s="510"/>
      <c r="BT108" s="510"/>
      <c r="BU108" s="510"/>
      <c r="BV108" s="510"/>
      <c r="BW108" s="510"/>
      <c r="BX108" s="510"/>
      <c r="BY108" s="510"/>
      <c r="BZ108" s="510"/>
      <c r="CA108" s="510"/>
      <c r="CB108" s="510"/>
      <c r="CC108" s="510"/>
      <c r="CD108" s="510"/>
      <c r="CE108" s="510"/>
      <c r="CF108" s="510"/>
      <c r="CG108" s="510"/>
      <c r="CH108" s="510"/>
      <c r="CI108" s="510"/>
      <c r="CJ108" s="511">
        <f>BD108*BT108</f>
        <v>0</v>
      </c>
      <c r="CK108" s="511"/>
      <c r="CL108" s="511"/>
      <c r="CM108" s="511"/>
      <c r="CN108" s="511"/>
      <c r="CO108" s="511"/>
      <c r="CP108" s="511"/>
      <c r="CQ108" s="511"/>
      <c r="CR108" s="511"/>
      <c r="CS108" s="511"/>
      <c r="CT108" s="511"/>
      <c r="CU108" s="511"/>
      <c r="CV108" s="511"/>
      <c r="CW108" s="511"/>
      <c r="CX108" s="511"/>
      <c r="CY108" s="511"/>
      <c r="CZ108" s="511"/>
      <c r="DA108" s="511"/>
    </row>
    <row r="109" spans="1:109" s="250" customFormat="1" ht="15" customHeight="1" x14ac:dyDescent="0.25">
      <c r="A109" s="508"/>
      <c r="B109" s="508"/>
      <c r="C109" s="508"/>
      <c r="D109" s="508"/>
      <c r="E109" s="508"/>
      <c r="F109" s="508"/>
      <c r="G109" s="508"/>
      <c r="H109" s="512" t="s">
        <v>521</v>
      </c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S109" s="512"/>
      <c r="T109" s="512"/>
      <c r="U109" s="512"/>
      <c r="V109" s="512"/>
      <c r="W109" s="512"/>
      <c r="X109" s="512"/>
      <c r="Y109" s="512"/>
      <c r="Z109" s="512"/>
      <c r="AA109" s="512"/>
      <c r="AB109" s="512"/>
      <c r="AC109" s="512"/>
      <c r="AD109" s="512"/>
      <c r="AE109" s="512"/>
      <c r="AF109" s="512"/>
      <c r="AG109" s="512"/>
      <c r="AH109" s="512"/>
      <c r="AI109" s="512"/>
      <c r="AJ109" s="512"/>
      <c r="AK109" s="512"/>
      <c r="AL109" s="512"/>
      <c r="AM109" s="512"/>
      <c r="AN109" s="512"/>
      <c r="AO109" s="512"/>
      <c r="AP109" s="512"/>
      <c r="AQ109" s="512"/>
      <c r="AR109" s="512"/>
      <c r="AS109" s="512"/>
      <c r="AT109" s="512"/>
      <c r="AU109" s="512"/>
      <c r="AV109" s="512"/>
      <c r="AW109" s="512"/>
      <c r="AX109" s="512"/>
      <c r="AY109" s="512"/>
      <c r="AZ109" s="512"/>
      <c r="BA109" s="512"/>
      <c r="BB109" s="512"/>
      <c r="BC109" s="513"/>
      <c r="BD109" s="510" t="s">
        <v>494</v>
      </c>
      <c r="BE109" s="510"/>
      <c r="BF109" s="510"/>
      <c r="BG109" s="510"/>
      <c r="BH109" s="510"/>
      <c r="BI109" s="510"/>
      <c r="BJ109" s="510"/>
      <c r="BK109" s="510"/>
      <c r="BL109" s="510"/>
      <c r="BM109" s="510"/>
      <c r="BN109" s="510"/>
      <c r="BO109" s="510"/>
      <c r="BP109" s="510"/>
      <c r="BQ109" s="510"/>
      <c r="BR109" s="510"/>
      <c r="BS109" s="510"/>
      <c r="BT109" s="510" t="s">
        <v>494</v>
      </c>
      <c r="BU109" s="510"/>
      <c r="BV109" s="510"/>
      <c r="BW109" s="510"/>
      <c r="BX109" s="510"/>
      <c r="BY109" s="510"/>
      <c r="BZ109" s="510"/>
      <c r="CA109" s="510"/>
      <c r="CB109" s="510"/>
      <c r="CC109" s="510"/>
      <c r="CD109" s="510"/>
      <c r="CE109" s="510"/>
      <c r="CF109" s="510"/>
      <c r="CG109" s="510"/>
      <c r="CH109" s="510"/>
      <c r="CI109" s="510"/>
      <c r="CJ109" s="514">
        <f>ROUND((CJ106+CJ107+CJ108),-2)</f>
        <v>14400</v>
      </c>
      <c r="CK109" s="514"/>
      <c r="CL109" s="514"/>
      <c r="CM109" s="514"/>
      <c r="CN109" s="514"/>
      <c r="CO109" s="514"/>
      <c r="CP109" s="514"/>
      <c r="CQ109" s="514"/>
      <c r="CR109" s="514"/>
      <c r="CS109" s="514"/>
      <c r="CT109" s="514"/>
      <c r="CU109" s="514"/>
      <c r="CV109" s="514"/>
      <c r="CW109" s="514"/>
      <c r="CX109" s="514"/>
      <c r="CY109" s="514"/>
      <c r="CZ109" s="514"/>
      <c r="DA109" s="514"/>
    </row>
    <row r="110" spans="1:109" ht="13.5" customHeight="1" x14ac:dyDescent="0.25"/>
    <row r="111" spans="1:109" s="248" customFormat="1" ht="34.5" customHeight="1" x14ac:dyDescent="0.2">
      <c r="A111" s="519" t="s">
        <v>635</v>
      </c>
      <c r="B111" s="519"/>
      <c r="C111" s="519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  <c r="AE111" s="519"/>
      <c r="AF111" s="519"/>
      <c r="AG111" s="519"/>
      <c r="AH111" s="519"/>
      <c r="AI111" s="519"/>
      <c r="AJ111" s="519"/>
      <c r="AK111" s="519"/>
      <c r="AL111" s="519"/>
      <c r="AM111" s="519"/>
      <c r="AN111" s="519"/>
      <c r="AO111" s="519"/>
      <c r="AP111" s="519"/>
      <c r="AQ111" s="519"/>
      <c r="AR111" s="519"/>
      <c r="AS111" s="519"/>
      <c r="AT111" s="519"/>
      <c r="AU111" s="519"/>
      <c r="AV111" s="519"/>
      <c r="AW111" s="519"/>
      <c r="AX111" s="519"/>
      <c r="AY111" s="519"/>
      <c r="AZ111" s="519"/>
      <c r="BA111" s="519"/>
      <c r="BB111" s="519"/>
      <c r="BC111" s="519"/>
      <c r="BD111" s="519"/>
      <c r="BE111" s="519"/>
      <c r="BF111" s="519"/>
      <c r="BG111" s="519"/>
      <c r="BH111" s="519"/>
      <c r="BI111" s="519"/>
      <c r="BJ111" s="519"/>
      <c r="BK111" s="519"/>
      <c r="BL111" s="519"/>
      <c r="BM111" s="519"/>
      <c r="BN111" s="519"/>
      <c r="BO111" s="519"/>
      <c r="BP111" s="519"/>
      <c r="BQ111" s="519"/>
      <c r="BR111" s="519"/>
      <c r="BS111" s="519"/>
      <c r="BT111" s="519"/>
      <c r="BU111" s="519"/>
      <c r="BV111" s="519"/>
      <c r="BW111" s="519"/>
      <c r="BX111" s="519"/>
      <c r="BY111" s="519"/>
      <c r="BZ111" s="519"/>
      <c r="CA111" s="519"/>
      <c r="CB111" s="519"/>
      <c r="CC111" s="519"/>
      <c r="CD111" s="519"/>
      <c r="CE111" s="519"/>
      <c r="CF111" s="519"/>
      <c r="CG111" s="519"/>
      <c r="CH111" s="519"/>
      <c r="CI111" s="519"/>
      <c r="CJ111" s="519"/>
      <c r="CK111" s="519"/>
      <c r="CL111" s="519"/>
      <c r="CM111" s="519"/>
      <c r="CN111" s="519"/>
      <c r="CO111" s="519"/>
      <c r="CP111" s="519"/>
      <c r="CQ111" s="519"/>
      <c r="CR111" s="519"/>
      <c r="CS111" s="519"/>
      <c r="CT111" s="519"/>
      <c r="CU111" s="519"/>
      <c r="CV111" s="519"/>
      <c r="CW111" s="519"/>
      <c r="CX111" s="519"/>
      <c r="CY111" s="519"/>
      <c r="CZ111" s="519"/>
      <c r="DA111" s="519"/>
      <c r="DE111" s="180" t="s">
        <v>636</v>
      </c>
    </row>
    <row r="112" spans="1:109" ht="6" customHeight="1" x14ac:dyDescent="0.25"/>
    <row r="113" spans="1:109" ht="10.5" customHeight="1" x14ac:dyDescent="0.25"/>
    <row r="114" spans="1:109" s="251" customFormat="1" ht="45" customHeight="1" x14ac:dyDescent="0.25">
      <c r="A114" s="520" t="s">
        <v>176</v>
      </c>
      <c r="B114" s="521"/>
      <c r="C114" s="521"/>
      <c r="D114" s="521"/>
      <c r="E114" s="521"/>
      <c r="F114" s="521"/>
      <c r="G114" s="522"/>
      <c r="H114" s="520" t="s">
        <v>225</v>
      </c>
      <c r="I114" s="521"/>
      <c r="J114" s="521"/>
      <c r="K114" s="521"/>
      <c r="L114" s="521"/>
      <c r="M114" s="521"/>
      <c r="N114" s="521"/>
      <c r="O114" s="521"/>
      <c r="P114" s="521"/>
      <c r="Q114" s="521"/>
      <c r="R114" s="521"/>
      <c r="S114" s="521"/>
      <c r="T114" s="521"/>
      <c r="U114" s="521"/>
      <c r="V114" s="521"/>
      <c r="W114" s="521"/>
      <c r="X114" s="521"/>
      <c r="Y114" s="521"/>
      <c r="Z114" s="521"/>
      <c r="AA114" s="521"/>
      <c r="AB114" s="521"/>
      <c r="AC114" s="521"/>
      <c r="AD114" s="521"/>
      <c r="AE114" s="521"/>
      <c r="AF114" s="521"/>
      <c r="AG114" s="521"/>
      <c r="AH114" s="521"/>
      <c r="AI114" s="521"/>
      <c r="AJ114" s="521"/>
      <c r="AK114" s="521"/>
      <c r="AL114" s="521"/>
      <c r="AM114" s="521"/>
      <c r="AN114" s="521"/>
      <c r="AO114" s="521"/>
      <c r="AP114" s="521"/>
      <c r="AQ114" s="521"/>
      <c r="AR114" s="521"/>
      <c r="AS114" s="521"/>
      <c r="AT114" s="521"/>
      <c r="AU114" s="521"/>
      <c r="AV114" s="521"/>
      <c r="AW114" s="521"/>
      <c r="AX114" s="521"/>
      <c r="AY114" s="521"/>
      <c r="AZ114" s="521"/>
      <c r="BA114" s="521"/>
      <c r="BB114" s="521"/>
      <c r="BC114" s="522"/>
      <c r="BD114" s="520" t="s">
        <v>623</v>
      </c>
      <c r="BE114" s="521"/>
      <c r="BF114" s="521"/>
      <c r="BG114" s="521"/>
      <c r="BH114" s="521"/>
      <c r="BI114" s="521"/>
      <c r="BJ114" s="521"/>
      <c r="BK114" s="521"/>
      <c r="BL114" s="521"/>
      <c r="BM114" s="521"/>
      <c r="BN114" s="521"/>
      <c r="BO114" s="521"/>
      <c r="BP114" s="521"/>
      <c r="BQ114" s="521"/>
      <c r="BR114" s="521"/>
      <c r="BS114" s="522"/>
      <c r="BT114" s="520" t="s">
        <v>624</v>
      </c>
      <c r="BU114" s="521"/>
      <c r="BV114" s="521"/>
      <c r="BW114" s="521"/>
      <c r="BX114" s="521"/>
      <c r="BY114" s="521"/>
      <c r="BZ114" s="521"/>
      <c r="CA114" s="521"/>
      <c r="CB114" s="521"/>
      <c r="CC114" s="521"/>
      <c r="CD114" s="521"/>
      <c r="CE114" s="521"/>
      <c r="CF114" s="521"/>
      <c r="CG114" s="521"/>
      <c r="CH114" s="521"/>
      <c r="CI114" s="522"/>
      <c r="CJ114" s="520" t="s">
        <v>625</v>
      </c>
      <c r="CK114" s="521"/>
      <c r="CL114" s="521"/>
      <c r="CM114" s="521"/>
      <c r="CN114" s="521"/>
      <c r="CO114" s="521"/>
      <c r="CP114" s="521"/>
      <c r="CQ114" s="521"/>
      <c r="CR114" s="521"/>
      <c r="CS114" s="521"/>
      <c r="CT114" s="521"/>
      <c r="CU114" s="521"/>
      <c r="CV114" s="521"/>
      <c r="CW114" s="521"/>
      <c r="CX114" s="521"/>
      <c r="CY114" s="521"/>
      <c r="CZ114" s="521"/>
      <c r="DA114" s="522"/>
    </row>
    <row r="115" spans="1:109" s="187" customFormat="1" ht="12.75" x14ac:dyDescent="0.25">
      <c r="A115" s="515">
        <v>1</v>
      </c>
      <c r="B115" s="515"/>
      <c r="C115" s="515"/>
      <c r="D115" s="515"/>
      <c r="E115" s="515"/>
      <c r="F115" s="515"/>
      <c r="G115" s="515"/>
      <c r="H115" s="515">
        <v>2</v>
      </c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5"/>
      <c r="AA115" s="515"/>
      <c r="AB115" s="515"/>
      <c r="AC115" s="515"/>
      <c r="AD115" s="515"/>
      <c r="AE115" s="515"/>
      <c r="AF115" s="515"/>
      <c r="AG115" s="515"/>
      <c r="AH115" s="515"/>
      <c r="AI115" s="515"/>
      <c r="AJ115" s="515"/>
      <c r="AK115" s="515"/>
      <c r="AL115" s="515"/>
      <c r="AM115" s="515"/>
      <c r="AN115" s="515"/>
      <c r="AO115" s="515"/>
      <c r="AP115" s="515"/>
      <c r="AQ115" s="515"/>
      <c r="AR115" s="515"/>
      <c r="AS115" s="515"/>
      <c r="AT115" s="515"/>
      <c r="AU115" s="515"/>
      <c r="AV115" s="515"/>
      <c r="AW115" s="515"/>
      <c r="AX115" s="515"/>
      <c r="AY115" s="515"/>
      <c r="AZ115" s="515"/>
      <c r="BA115" s="515"/>
      <c r="BB115" s="515"/>
      <c r="BC115" s="515"/>
      <c r="BD115" s="515">
        <v>3</v>
      </c>
      <c r="BE115" s="515"/>
      <c r="BF115" s="515"/>
      <c r="BG115" s="515"/>
      <c r="BH115" s="515"/>
      <c r="BI115" s="515"/>
      <c r="BJ115" s="515"/>
      <c r="BK115" s="515"/>
      <c r="BL115" s="515"/>
      <c r="BM115" s="515"/>
      <c r="BN115" s="515"/>
      <c r="BO115" s="515"/>
      <c r="BP115" s="515"/>
      <c r="BQ115" s="515"/>
      <c r="BR115" s="515"/>
      <c r="BS115" s="515"/>
      <c r="BT115" s="515">
        <v>4</v>
      </c>
      <c r="BU115" s="515"/>
      <c r="BV115" s="515"/>
      <c r="BW115" s="515"/>
      <c r="BX115" s="515"/>
      <c r="BY115" s="515"/>
      <c r="BZ115" s="515"/>
      <c r="CA115" s="515"/>
      <c r="CB115" s="515"/>
      <c r="CC115" s="515"/>
      <c r="CD115" s="515"/>
      <c r="CE115" s="515"/>
      <c r="CF115" s="515"/>
      <c r="CG115" s="515"/>
      <c r="CH115" s="515"/>
      <c r="CI115" s="515"/>
      <c r="CJ115" s="515">
        <v>5</v>
      </c>
      <c r="CK115" s="515"/>
      <c r="CL115" s="515"/>
      <c r="CM115" s="515"/>
      <c r="CN115" s="515"/>
      <c r="CO115" s="515"/>
      <c r="CP115" s="515"/>
      <c r="CQ115" s="515"/>
      <c r="CR115" s="515"/>
      <c r="CS115" s="515"/>
      <c r="CT115" s="515"/>
      <c r="CU115" s="515"/>
      <c r="CV115" s="515"/>
      <c r="CW115" s="515"/>
      <c r="CX115" s="515"/>
      <c r="CY115" s="515"/>
      <c r="CZ115" s="515"/>
      <c r="DA115" s="515"/>
    </row>
    <row r="116" spans="1:109" s="250" customFormat="1" ht="15" customHeight="1" x14ac:dyDescent="0.25">
      <c r="A116" s="508" t="s">
        <v>370</v>
      </c>
      <c r="B116" s="508"/>
      <c r="C116" s="508"/>
      <c r="D116" s="508"/>
      <c r="E116" s="508"/>
      <c r="F116" s="508"/>
      <c r="G116" s="508"/>
      <c r="H116" s="509" t="s">
        <v>374</v>
      </c>
      <c r="I116" s="509"/>
      <c r="J116" s="509"/>
      <c r="K116" s="509"/>
      <c r="L116" s="509"/>
      <c r="M116" s="509"/>
      <c r="N116" s="509"/>
      <c r="O116" s="509"/>
      <c r="P116" s="509"/>
      <c r="Q116" s="509"/>
      <c r="R116" s="509"/>
      <c r="S116" s="509"/>
      <c r="T116" s="509"/>
      <c r="U116" s="509"/>
      <c r="V116" s="509"/>
      <c r="W116" s="509"/>
      <c r="X116" s="509"/>
      <c r="Y116" s="509"/>
      <c r="Z116" s="509"/>
      <c r="AA116" s="509"/>
      <c r="AB116" s="509"/>
      <c r="AC116" s="509"/>
      <c r="AD116" s="509"/>
      <c r="AE116" s="509"/>
      <c r="AF116" s="509"/>
      <c r="AG116" s="509"/>
      <c r="AH116" s="509"/>
      <c r="AI116" s="509"/>
      <c r="AJ116" s="509"/>
      <c r="AK116" s="509"/>
      <c r="AL116" s="509"/>
      <c r="AM116" s="509"/>
      <c r="AN116" s="509"/>
      <c r="AO116" s="509"/>
      <c r="AP116" s="509"/>
      <c r="AQ116" s="509"/>
      <c r="AR116" s="509"/>
      <c r="AS116" s="509"/>
      <c r="AT116" s="509"/>
      <c r="AU116" s="509"/>
      <c r="AV116" s="509"/>
      <c r="AW116" s="509"/>
      <c r="AX116" s="509"/>
      <c r="AY116" s="509"/>
      <c r="AZ116" s="509"/>
      <c r="BA116" s="509"/>
      <c r="BB116" s="509"/>
      <c r="BC116" s="509"/>
      <c r="BD116" s="510">
        <v>45000</v>
      </c>
      <c r="BE116" s="510"/>
      <c r="BF116" s="510"/>
      <c r="BG116" s="510"/>
      <c r="BH116" s="510"/>
      <c r="BI116" s="510"/>
      <c r="BJ116" s="510"/>
      <c r="BK116" s="510"/>
      <c r="BL116" s="510"/>
      <c r="BM116" s="510"/>
      <c r="BN116" s="510"/>
      <c r="BO116" s="510"/>
      <c r="BP116" s="510"/>
      <c r="BQ116" s="510"/>
      <c r="BR116" s="510"/>
      <c r="BS116" s="510"/>
      <c r="BT116" s="510">
        <f>CJ116/BD116</f>
        <v>7.2311111111111108</v>
      </c>
      <c r="BU116" s="510"/>
      <c r="BV116" s="510"/>
      <c r="BW116" s="510"/>
      <c r="BX116" s="510"/>
      <c r="BY116" s="510"/>
      <c r="BZ116" s="510"/>
      <c r="CA116" s="510"/>
      <c r="CB116" s="510"/>
      <c r="CC116" s="510"/>
      <c r="CD116" s="510"/>
      <c r="CE116" s="510"/>
      <c r="CF116" s="510"/>
      <c r="CG116" s="510"/>
      <c r="CH116" s="510"/>
      <c r="CI116" s="510"/>
      <c r="CJ116" s="511">
        <v>325400</v>
      </c>
      <c r="CK116" s="511"/>
      <c r="CL116" s="511"/>
      <c r="CM116" s="511"/>
      <c r="CN116" s="511"/>
      <c r="CO116" s="511"/>
      <c r="CP116" s="511"/>
      <c r="CQ116" s="511"/>
      <c r="CR116" s="511"/>
      <c r="CS116" s="511"/>
      <c r="CT116" s="511"/>
      <c r="CU116" s="511"/>
      <c r="CV116" s="511"/>
      <c r="CW116" s="511"/>
      <c r="CX116" s="511"/>
      <c r="CY116" s="511"/>
      <c r="CZ116" s="511"/>
      <c r="DA116" s="511"/>
    </row>
    <row r="117" spans="1:109" s="250" customFormat="1" ht="15" customHeight="1" x14ac:dyDescent="0.25">
      <c r="A117" s="508"/>
      <c r="B117" s="508"/>
      <c r="C117" s="508"/>
      <c r="D117" s="508"/>
      <c r="E117" s="508"/>
      <c r="F117" s="508"/>
      <c r="G117" s="508"/>
      <c r="H117" s="512" t="s">
        <v>521</v>
      </c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12"/>
      <c r="AA117" s="512"/>
      <c r="AB117" s="512"/>
      <c r="AC117" s="512"/>
      <c r="AD117" s="512"/>
      <c r="AE117" s="512"/>
      <c r="AF117" s="512"/>
      <c r="AG117" s="512"/>
      <c r="AH117" s="512"/>
      <c r="AI117" s="512"/>
      <c r="AJ117" s="512"/>
      <c r="AK117" s="512"/>
      <c r="AL117" s="512"/>
      <c r="AM117" s="512"/>
      <c r="AN117" s="512"/>
      <c r="AO117" s="512"/>
      <c r="AP117" s="512"/>
      <c r="AQ117" s="512"/>
      <c r="AR117" s="512"/>
      <c r="AS117" s="512"/>
      <c r="AT117" s="512"/>
      <c r="AU117" s="512"/>
      <c r="AV117" s="512"/>
      <c r="AW117" s="512"/>
      <c r="AX117" s="512"/>
      <c r="AY117" s="512"/>
      <c r="AZ117" s="512"/>
      <c r="BA117" s="512"/>
      <c r="BB117" s="512"/>
      <c r="BC117" s="513"/>
      <c r="BD117" s="510" t="s">
        <v>494</v>
      </c>
      <c r="BE117" s="510"/>
      <c r="BF117" s="510"/>
      <c r="BG117" s="510"/>
      <c r="BH117" s="510"/>
      <c r="BI117" s="510"/>
      <c r="BJ117" s="510"/>
      <c r="BK117" s="510"/>
      <c r="BL117" s="510"/>
      <c r="BM117" s="510"/>
      <c r="BN117" s="510"/>
      <c r="BO117" s="510"/>
      <c r="BP117" s="510"/>
      <c r="BQ117" s="510"/>
      <c r="BR117" s="510"/>
      <c r="BS117" s="510"/>
      <c r="BT117" s="510" t="s">
        <v>494</v>
      </c>
      <c r="BU117" s="510"/>
      <c r="BV117" s="510"/>
      <c r="BW117" s="510"/>
      <c r="BX117" s="510"/>
      <c r="BY117" s="510"/>
      <c r="BZ117" s="510"/>
      <c r="CA117" s="510"/>
      <c r="CB117" s="510"/>
      <c r="CC117" s="510"/>
      <c r="CD117" s="510"/>
      <c r="CE117" s="510"/>
      <c r="CF117" s="510"/>
      <c r="CG117" s="510"/>
      <c r="CH117" s="510"/>
      <c r="CI117" s="510"/>
      <c r="CJ117" s="514">
        <f>CJ116</f>
        <v>325400</v>
      </c>
      <c r="CK117" s="514"/>
      <c r="CL117" s="514"/>
      <c r="CM117" s="514"/>
      <c r="CN117" s="514"/>
      <c r="CO117" s="514"/>
      <c r="CP117" s="514"/>
      <c r="CQ117" s="514"/>
      <c r="CR117" s="514"/>
      <c r="CS117" s="514"/>
      <c r="CT117" s="514"/>
      <c r="CU117" s="514"/>
      <c r="CV117" s="514"/>
      <c r="CW117" s="514"/>
      <c r="CX117" s="514"/>
      <c r="CY117" s="514"/>
      <c r="CZ117" s="514"/>
      <c r="DA117" s="514"/>
    </row>
    <row r="119" spans="1:109" s="248" customFormat="1" ht="42.75" hidden="1" customHeight="1" x14ac:dyDescent="0.2">
      <c r="A119" s="519" t="s">
        <v>637</v>
      </c>
      <c r="B119" s="519"/>
      <c r="C119" s="519"/>
      <c r="D119" s="519"/>
      <c r="E119" s="519"/>
      <c r="F119" s="519"/>
      <c r="G119" s="519"/>
      <c r="H119" s="519"/>
      <c r="I119" s="519"/>
      <c r="J119" s="519"/>
      <c r="K119" s="519"/>
      <c r="L119" s="519"/>
      <c r="M119" s="519"/>
      <c r="N119" s="519"/>
      <c r="O119" s="519"/>
      <c r="P119" s="519"/>
      <c r="Q119" s="519"/>
      <c r="R119" s="519"/>
      <c r="S119" s="519"/>
      <c r="T119" s="519"/>
      <c r="U119" s="519"/>
      <c r="V119" s="519"/>
      <c r="W119" s="519"/>
      <c r="X119" s="519"/>
      <c r="Y119" s="519"/>
      <c r="Z119" s="519"/>
      <c r="AA119" s="519"/>
      <c r="AB119" s="519"/>
      <c r="AC119" s="519"/>
      <c r="AD119" s="519"/>
      <c r="AE119" s="519"/>
      <c r="AF119" s="519"/>
      <c r="AG119" s="519"/>
      <c r="AH119" s="519"/>
      <c r="AI119" s="519"/>
      <c r="AJ119" s="519"/>
      <c r="AK119" s="519"/>
      <c r="AL119" s="519"/>
      <c r="AM119" s="519"/>
      <c r="AN119" s="519"/>
      <c r="AO119" s="519"/>
      <c r="AP119" s="519"/>
      <c r="AQ119" s="519"/>
      <c r="AR119" s="519"/>
      <c r="AS119" s="519"/>
      <c r="AT119" s="519"/>
      <c r="AU119" s="519"/>
      <c r="AV119" s="519"/>
      <c r="AW119" s="519"/>
      <c r="AX119" s="519"/>
      <c r="AY119" s="519"/>
      <c r="AZ119" s="519"/>
      <c r="BA119" s="519"/>
      <c r="BB119" s="519"/>
      <c r="BC119" s="519"/>
      <c r="BD119" s="519"/>
      <c r="BE119" s="519"/>
      <c r="BF119" s="519"/>
      <c r="BG119" s="519"/>
      <c r="BH119" s="519"/>
      <c r="BI119" s="519"/>
      <c r="BJ119" s="519"/>
      <c r="BK119" s="519"/>
      <c r="BL119" s="519"/>
      <c r="BM119" s="519"/>
      <c r="BN119" s="519"/>
      <c r="BO119" s="519"/>
      <c r="BP119" s="519"/>
      <c r="BQ119" s="519"/>
      <c r="BR119" s="519"/>
      <c r="BS119" s="519"/>
      <c r="BT119" s="519"/>
      <c r="BU119" s="519"/>
      <c r="BV119" s="519"/>
      <c r="BW119" s="519"/>
      <c r="BX119" s="519"/>
      <c r="BY119" s="519"/>
      <c r="BZ119" s="519"/>
      <c r="CA119" s="519"/>
      <c r="CB119" s="519"/>
      <c r="CC119" s="519"/>
      <c r="CD119" s="519"/>
      <c r="CE119" s="519"/>
      <c r="CF119" s="519"/>
      <c r="CG119" s="519"/>
      <c r="CH119" s="519"/>
      <c r="CI119" s="519"/>
      <c r="CJ119" s="519"/>
      <c r="CK119" s="519"/>
      <c r="CL119" s="519"/>
      <c r="CM119" s="519"/>
      <c r="CN119" s="519"/>
      <c r="CO119" s="519"/>
      <c r="CP119" s="519"/>
      <c r="CQ119" s="519"/>
      <c r="CR119" s="519"/>
      <c r="CS119" s="519"/>
      <c r="CT119" s="519"/>
      <c r="CU119" s="519"/>
      <c r="CV119" s="519"/>
      <c r="CW119" s="519"/>
      <c r="CX119" s="519"/>
      <c r="CY119" s="519"/>
      <c r="CZ119" s="519"/>
      <c r="DA119" s="519"/>
      <c r="DE119" s="273" t="s">
        <v>638</v>
      </c>
    </row>
    <row r="120" spans="1:109" ht="6" hidden="1" customHeight="1" x14ac:dyDescent="0.25"/>
    <row r="121" spans="1:109" ht="10.5" hidden="1" customHeight="1" x14ac:dyDescent="0.25"/>
    <row r="122" spans="1:109" s="251" customFormat="1" ht="45" hidden="1" customHeight="1" x14ac:dyDescent="0.25">
      <c r="A122" s="520" t="s">
        <v>176</v>
      </c>
      <c r="B122" s="521"/>
      <c r="C122" s="521"/>
      <c r="D122" s="521"/>
      <c r="E122" s="521"/>
      <c r="F122" s="521"/>
      <c r="G122" s="522"/>
      <c r="H122" s="520" t="s">
        <v>225</v>
      </c>
      <c r="I122" s="521"/>
      <c r="J122" s="521"/>
      <c r="K122" s="521"/>
      <c r="L122" s="521"/>
      <c r="M122" s="521"/>
      <c r="N122" s="521"/>
      <c r="O122" s="521"/>
      <c r="P122" s="521"/>
      <c r="Q122" s="521"/>
      <c r="R122" s="521"/>
      <c r="S122" s="521"/>
      <c r="T122" s="521"/>
      <c r="U122" s="521"/>
      <c r="V122" s="521"/>
      <c r="W122" s="521"/>
      <c r="X122" s="521"/>
      <c r="Y122" s="521"/>
      <c r="Z122" s="521"/>
      <c r="AA122" s="521"/>
      <c r="AB122" s="521"/>
      <c r="AC122" s="521"/>
      <c r="AD122" s="521"/>
      <c r="AE122" s="521"/>
      <c r="AF122" s="521"/>
      <c r="AG122" s="521"/>
      <c r="AH122" s="521"/>
      <c r="AI122" s="521"/>
      <c r="AJ122" s="521"/>
      <c r="AK122" s="521"/>
      <c r="AL122" s="521"/>
      <c r="AM122" s="521"/>
      <c r="AN122" s="521"/>
      <c r="AO122" s="521"/>
      <c r="AP122" s="521"/>
      <c r="AQ122" s="521"/>
      <c r="AR122" s="521"/>
      <c r="AS122" s="521"/>
      <c r="AT122" s="521"/>
      <c r="AU122" s="521"/>
      <c r="AV122" s="521"/>
      <c r="AW122" s="521"/>
      <c r="AX122" s="521"/>
      <c r="AY122" s="521"/>
      <c r="AZ122" s="521"/>
      <c r="BA122" s="521"/>
      <c r="BB122" s="521"/>
      <c r="BC122" s="522"/>
      <c r="BD122" s="520" t="s">
        <v>623</v>
      </c>
      <c r="BE122" s="521"/>
      <c r="BF122" s="521"/>
      <c r="BG122" s="521"/>
      <c r="BH122" s="521"/>
      <c r="BI122" s="521"/>
      <c r="BJ122" s="521"/>
      <c r="BK122" s="521"/>
      <c r="BL122" s="521"/>
      <c r="BM122" s="521"/>
      <c r="BN122" s="521"/>
      <c r="BO122" s="521"/>
      <c r="BP122" s="521"/>
      <c r="BQ122" s="521"/>
      <c r="BR122" s="521"/>
      <c r="BS122" s="522"/>
      <c r="BT122" s="520" t="s">
        <v>624</v>
      </c>
      <c r="BU122" s="521"/>
      <c r="BV122" s="521"/>
      <c r="BW122" s="521"/>
      <c r="BX122" s="521"/>
      <c r="BY122" s="521"/>
      <c r="BZ122" s="521"/>
      <c r="CA122" s="521"/>
      <c r="CB122" s="521"/>
      <c r="CC122" s="521"/>
      <c r="CD122" s="521"/>
      <c r="CE122" s="521"/>
      <c r="CF122" s="521"/>
      <c r="CG122" s="521"/>
      <c r="CH122" s="521"/>
      <c r="CI122" s="522"/>
      <c r="CJ122" s="520" t="s">
        <v>625</v>
      </c>
      <c r="CK122" s="521"/>
      <c r="CL122" s="521"/>
      <c r="CM122" s="521"/>
      <c r="CN122" s="521"/>
      <c r="CO122" s="521"/>
      <c r="CP122" s="521"/>
      <c r="CQ122" s="521"/>
      <c r="CR122" s="521"/>
      <c r="CS122" s="521"/>
      <c r="CT122" s="521"/>
      <c r="CU122" s="521"/>
      <c r="CV122" s="521"/>
      <c r="CW122" s="521"/>
      <c r="CX122" s="521"/>
      <c r="CY122" s="521"/>
      <c r="CZ122" s="521"/>
      <c r="DA122" s="522"/>
    </row>
    <row r="123" spans="1:109" s="187" customFormat="1" ht="12.75" hidden="1" x14ac:dyDescent="0.25">
      <c r="A123" s="515">
        <v>1</v>
      </c>
      <c r="B123" s="515"/>
      <c r="C123" s="515"/>
      <c r="D123" s="515"/>
      <c r="E123" s="515"/>
      <c r="F123" s="515"/>
      <c r="G123" s="515"/>
      <c r="H123" s="515">
        <v>2</v>
      </c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  <c r="Z123" s="515"/>
      <c r="AA123" s="515"/>
      <c r="AB123" s="515"/>
      <c r="AC123" s="515"/>
      <c r="AD123" s="515"/>
      <c r="AE123" s="515"/>
      <c r="AF123" s="515"/>
      <c r="AG123" s="515"/>
      <c r="AH123" s="515"/>
      <c r="AI123" s="515"/>
      <c r="AJ123" s="515"/>
      <c r="AK123" s="515"/>
      <c r="AL123" s="515"/>
      <c r="AM123" s="515"/>
      <c r="AN123" s="515"/>
      <c r="AO123" s="515"/>
      <c r="AP123" s="515"/>
      <c r="AQ123" s="515"/>
      <c r="AR123" s="515"/>
      <c r="AS123" s="515"/>
      <c r="AT123" s="515"/>
      <c r="AU123" s="515"/>
      <c r="AV123" s="515"/>
      <c r="AW123" s="515"/>
      <c r="AX123" s="515"/>
      <c r="AY123" s="515"/>
      <c r="AZ123" s="515"/>
      <c r="BA123" s="515"/>
      <c r="BB123" s="515"/>
      <c r="BC123" s="515"/>
      <c r="BD123" s="515">
        <v>3</v>
      </c>
      <c r="BE123" s="515"/>
      <c r="BF123" s="515"/>
      <c r="BG123" s="515"/>
      <c r="BH123" s="515"/>
      <c r="BI123" s="515"/>
      <c r="BJ123" s="515"/>
      <c r="BK123" s="515"/>
      <c r="BL123" s="515"/>
      <c r="BM123" s="515"/>
      <c r="BN123" s="515"/>
      <c r="BO123" s="515"/>
      <c r="BP123" s="515"/>
      <c r="BQ123" s="515"/>
      <c r="BR123" s="515"/>
      <c r="BS123" s="515"/>
      <c r="BT123" s="515">
        <v>4</v>
      </c>
      <c r="BU123" s="515"/>
      <c r="BV123" s="515"/>
      <c r="BW123" s="515"/>
      <c r="BX123" s="515"/>
      <c r="BY123" s="515"/>
      <c r="BZ123" s="515"/>
      <c r="CA123" s="515"/>
      <c r="CB123" s="515"/>
      <c r="CC123" s="515"/>
      <c r="CD123" s="515"/>
      <c r="CE123" s="515"/>
      <c r="CF123" s="515"/>
      <c r="CG123" s="515"/>
      <c r="CH123" s="515"/>
      <c r="CI123" s="515"/>
      <c r="CJ123" s="515">
        <v>5</v>
      </c>
      <c r="CK123" s="515"/>
      <c r="CL123" s="515"/>
      <c r="CM123" s="515"/>
      <c r="CN123" s="515"/>
      <c r="CO123" s="515"/>
      <c r="CP123" s="515"/>
      <c r="CQ123" s="515"/>
      <c r="CR123" s="515"/>
      <c r="CS123" s="515"/>
      <c r="CT123" s="515"/>
      <c r="CU123" s="515"/>
      <c r="CV123" s="515"/>
      <c r="CW123" s="515"/>
      <c r="CX123" s="515"/>
      <c r="CY123" s="515"/>
      <c r="CZ123" s="515"/>
      <c r="DA123" s="515"/>
    </row>
    <row r="124" spans="1:109" s="250" customFormat="1" ht="15" hidden="1" customHeight="1" x14ac:dyDescent="0.25">
      <c r="A124" s="508" t="s">
        <v>370</v>
      </c>
      <c r="B124" s="508"/>
      <c r="C124" s="508"/>
      <c r="D124" s="508"/>
      <c r="E124" s="508"/>
      <c r="F124" s="508"/>
      <c r="G124" s="508"/>
      <c r="H124" s="523" t="s">
        <v>639</v>
      </c>
      <c r="I124" s="524"/>
      <c r="J124" s="524"/>
      <c r="K124" s="524"/>
      <c r="L124" s="524"/>
      <c r="M124" s="524"/>
      <c r="N124" s="524"/>
      <c r="O124" s="524"/>
      <c r="P124" s="524"/>
      <c r="Q124" s="524"/>
      <c r="R124" s="524"/>
      <c r="S124" s="524"/>
      <c r="T124" s="524"/>
      <c r="U124" s="524"/>
      <c r="V124" s="524"/>
      <c r="W124" s="524"/>
      <c r="X124" s="524"/>
      <c r="Y124" s="524"/>
      <c r="Z124" s="524"/>
      <c r="AA124" s="524"/>
      <c r="AB124" s="524"/>
      <c r="AC124" s="524"/>
      <c r="AD124" s="524"/>
      <c r="AE124" s="524"/>
      <c r="AF124" s="524"/>
      <c r="AG124" s="524"/>
      <c r="AH124" s="524"/>
      <c r="AI124" s="524"/>
      <c r="AJ124" s="524"/>
      <c r="AK124" s="524"/>
      <c r="AL124" s="524"/>
      <c r="AM124" s="524"/>
      <c r="AN124" s="524"/>
      <c r="AO124" s="524"/>
      <c r="AP124" s="524"/>
      <c r="AQ124" s="524"/>
      <c r="AR124" s="524"/>
      <c r="AS124" s="524"/>
      <c r="AT124" s="524"/>
      <c r="AU124" s="524"/>
      <c r="AV124" s="524"/>
      <c r="AW124" s="524"/>
      <c r="AX124" s="524"/>
      <c r="AY124" s="524"/>
      <c r="AZ124" s="524"/>
      <c r="BA124" s="524"/>
      <c r="BB124" s="524"/>
      <c r="BC124" s="525"/>
      <c r="BD124" s="510">
        <f>48000+18000</f>
        <v>66000</v>
      </c>
      <c r="BE124" s="510"/>
      <c r="BF124" s="510"/>
      <c r="BG124" s="510"/>
      <c r="BH124" s="510"/>
      <c r="BI124" s="510"/>
      <c r="BJ124" s="510"/>
      <c r="BK124" s="510"/>
      <c r="BL124" s="510"/>
      <c r="BM124" s="510"/>
      <c r="BN124" s="510"/>
      <c r="BO124" s="510"/>
      <c r="BP124" s="510"/>
      <c r="BQ124" s="510"/>
      <c r="BR124" s="510"/>
      <c r="BS124" s="510"/>
      <c r="BT124" s="510">
        <v>1</v>
      </c>
      <c r="BU124" s="510"/>
      <c r="BV124" s="510"/>
      <c r="BW124" s="510"/>
      <c r="BX124" s="510"/>
      <c r="BY124" s="510"/>
      <c r="BZ124" s="510"/>
      <c r="CA124" s="510"/>
      <c r="CB124" s="510"/>
      <c r="CC124" s="510"/>
      <c r="CD124" s="510"/>
      <c r="CE124" s="510"/>
      <c r="CF124" s="510"/>
      <c r="CG124" s="510"/>
      <c r="CH124" s="510"/>
      <c r="CI124" s="510"/>
      <c r="CJ124" s="511"/>
      <c r="CK124" s="511"/>
      <c r="CL124" s="511"/>
      <c r="CM124" s="511"/>
      <c r="CN124" s="511"/>
      <c r="CO124" s="511"/>
      <c r="CP124" s="511"/>
      <c r="CQ124" s="511"/>
      <c r="CR124" s="511"/>
      <c r="CS124" s="511"/>
      <c r="CT124" s="511"/>
      <c r="CU124" s="511"/>
      <c r="CV124" s="511"/>
      <c r="CW124" s="511"/>
      <c r="CX124" s="511"/>
      <c r="CY124" s="511"/>
      <c r="CZ124" s="511"/>
      <c r="DA124" s="511"/>
    </row>
    <row r="125" spans="1:109" s="250" customFormat="1" ht="15" hidden="1" customHeight="1" x14ac:dyDescent="0.25">
      <c r="A125" s="623" t="s">
        <v>377</v>
      </c>
      <c r="B125" s="624"/>
      <c r="C125" s="624"/>
      <c r="D125" s="624"/>
      <c r="E125" s="624"/>
      <c r="F125" s="624"/>
      <c r="G125" s="625"/>
      <c r="H125" s="523" t="s">
        <v>640</v>
      </c>
      <c r="I125" s="524"/>
      <c r="J125" s="524"/>
      <c r="K125" s="524"/>
      <c r="L125" s="524"/>
      <c r="M125" s="524"/>
      <c r="N125" s="524"/>
      <c r="O125" s="524"/>
      <c r="P125" s="524"/>
      <c r="Q125" s="524"/>
      <c r="R125" s="524"/>
      <c r="S125" s="524"/>
      <c r="T125" s="524"/>
      <c r="U125" s="524"/>
      <c r="V125" s="524"/>
      <c r="W125" s="524"/>
      <c r="X125" s="524"/>
      <c r="Y125" s="524"/>
      <c r="Z125" s="524"/>
      <c r="AA125" s="524"/>
      <c r="AB125" s="524"/>
      <c r="AC125" s="524"/>
      <c r="AD125" s="524"/>
      <c r="AE125" s="524"/>
      <c r="AF125" s="524"/>
      <c r="AG125" s="524"/>
      <c r="AH125" s="524"/>
      <c r="AI125" s="524"/>
      <c r="AJ125" s="524"/>
      <c r="AK125" s="524"/>
      <c r="AL125" s="524"/>
      <c r="AM125" s="524"/>
      <c r="AN125" s="524"/>
      <c r="AO125" s="524"/>
      <c r="AP125" s="524"/>
      <c r="AQ125" s="524"/>
      <c r="AR125" s="524"/>
      <c r="AS125" s="524"/>
      <c r="AT125" s="524"/>
      <c r="AU125" s="524"/>
      <c r="AV125" s="524"/>
      <c r="AW125" s="524"/>
      <c r="AX125" s="524"/>
      <c r="AY125" s="524"/>
      <c r="AZ125" s="524"/>
      <c r="BA125" s="524"/>
      <c r="BB125" s="524"/>
      <c r="BC125" s="525"/>
      <c r="BD125" s="510">
        <f>48000+18000</f>
        <v>66000</v>
      </c>
      <c r="BE125" s="510"/>
      <c r="BF125" s="510"/>
      <c r="BG125" s="510"/>
      <c r="BH125" s="510"/>
      <c r="BI125" s="510"/>
      <c r="BJ125" s="510"/>
      <c r="BK125" s="510"/>
      <c r="BL125" s="510"/>
      <c r="BM125" s="510"/>
      <c r="BN125" s="510"/>
      <c r="BO125" s="510"/>
      <c r="BP125" s="510"/>
      <c r="BQ125" s="510"/>
      <c r="BR125" s="510"/>
      <c r="BS125" s="510"/>
      <c r="BT125" s="571">
        <v>1</v>
      </c>
      <c r="BU125" s="572"/>
      <c r="BV125" s="572"/>
      <c r="BW125" s="572"/>
      <c r="BX125" s="572"/>
      <c r="BY125" s="572"/>
      <c r="BZ125" s="572"/>
      <c r="CA125" s="572"/>
      <c r="CB125" s="572"/>
      <c r="CC125" s="572"/>
      <c r="CD125" s="572"/>
      <c r="CE125" s="572"/>
      <c r="CF125" s="572"/>
      <c r="CG125" s="572"/>
      <c r="CH125" s="572"/>
      <c r="CI125" s="573"/>
      <c r="CJ125" s="511"/>
      <c r="CK125" s="511"/>
      <c r="CL125" s="511"/>
      <c r="CM125" s="511"/>
      <c r="CN125" s="511"/>
      <c r="CO125" s="511"/>
      <c r="CP125" s="511"/>
      <c r="CQ125" s="511"/>
      <c r="CR125" s="511"/>
      <c r="CS125" s="511"/>
      <c r="CT125" s="511"/>
      <c r="CU125" s="511"/>
      <c r="CV125" s="511"/>
      <c r="CW125" s="511"/>
      <c r="CX125" s="511"/>
      <c r="CY125" s="511"/>
      <c r="CZ125" s="511"/>
      <c r="DA125" s="511"/>
    </row>
    <row r="126" spans="1:109" s="250" customFormat="1" ht="15" hidden="1" customHeight="1" x14ac:dyDescent="0.25">
      <c r="A126" s="508"/>
      <c r="B126" s="508"/>
      <c r="C126" s="508"/>
      <c r="D126" s="508"/>
      <c r="E126" s="508"/>
      <c r="F126" s="508"/>
      <c r="G126" s="508"/>
      <c r="H126" s="512" t="s">
        <v>521</v>
      </c>
      <c r="I126" s="512"/>
      <c r="J126" s="512"/>
      <c r="K126" s="512"/>
      <c r="L126" s="512"/>
      <c r="M126" s="512"/>
      <c r="N126" s="512"/>
      <c r="O126" s="512"/>
      <c r="P126" s="512"/>
      <c r="Q126" s="512"/>
      <c r="R126" s="512"/>
      <c r="S126" s="512"/>
      <c r="T126" s="512"/>
      <c r="U126" s="512"/>
      <c r="V126" s="512"/>
      <c r="W126" s="512"/>
      <c r="X126" s="512"/>
      <c r="Y126" s="512"/>
      <c r="Z126" s="512"/>
      <c r="AA126" s="512"/>
      <c r="AB126" s="512"/>
      <c r="AC126" s="512"/>
      <c r="AD126" s="512"/>
      <c r="AE126" s="512"/>
      <c r="AF126" s="512"/>
      <c r="AG126" s="512"/>
      <c r="AH126" s="512"/>
      <c r="AI126" s="512"/>
      <c r="AJ126" s="512"/>
      <c r="AK126" s="512"/>
      <c r="AL126" s="512"/>
      <c r="AM126" s="512"/>
      <c r="AN126" s="512"/>
      <c r="AO126" s="512"/>
      <c r="AP126" s="512"/>
      <c r="AQ126" s="512"/>
      <c r="AR126" s="512"/>
      <c r="AS126" s="512"/>
      <c r="AT126" s="512"/>
      <c r="AU126" s="512"/>
      <c r="AV126" s="512"/>
      <c r="AW126" s="512"/>
      <c r="AX126" s="512"/>
      <c r="AY126" s="512"/>
      <c r="AZ126" s="512"/>
      <c r="BA126" s="512"/>
      <c r="BB126" s="512"/>
      <c r="BC126" s="513"/>
      <c r="BD126" s="510" t="s">
        <v>494</v>
      </c>
      <c r="BE126" s="510"/>
      <c r="BF126" s="510"/>
      <c r="BG126" s="510"/>
      <c r="BH126" s="510"/>
      <c r="BI126" s="510"/>
      <c r="BJ126" s="510"/>
      <c r="BK126" s="510"/>
      <c r="BL126" s="510"/>
      <c r="BM126" s="510"/>
      <c r="BN126" s="510"/>
      <c r="BO126" s="510"/>
      <c r="BP126" s="510"/>
      <c r="BQ126" s="510"/>
      <c r="BR126" s="510"/>
      <c r="BS126" s="510"/>
      <c r="BT126" s="510" t="s">
        <v>494</v>
      </c>
      <c r="BU126" s="510"/>
      <c r="BV126" s="510"/>
      <c r="BW126" s="510"/>
      <c r="BX126" s="510"/>
      <c r="BY126" s="510"/>
      <c r="BZ126" s="510"/>
      <c r="CA126" s="510"/>
      <c r="CB126" s="510"/>
      <c r="CC126" s="510"/>
      <c r="CD126" s="510"/>
      <c r="CE126" s="510"/>
      <c r="CF126" s="510"/>
      <c r="CG126" s="510"/>
      <c r="CH126" s="510"/>
      <c r="CI126" s="510"/>
      <c r="CJ126" s="514">
        <f>CJ124+CJ125</f>
        <v>0</v>
      </c>
      <c r="CK126" s="514"/>
      <c r="CL126" s="514"/>
      <c r="CM126" s="514"/>
      <c r="CN126" s="514"/>
      <c r="CO126" s="514"/>
      <c r="CP126" s="514"/>
      <c r="CQ126" s="514"/>
      <c r="CR126" s="514"/>
      <c r="CS126" s="514"/>
      <c r="CT126" s="514"/>
      <c r="CU126" s="514"/>
      <c r="CV126" s="514"/>
      <c r="CW126" s="514"/>
      <c r="CX126" s="514"/>
      <c r="CY126" s="514"/>
      <c r="CZ126" s="514"/>
      <c r="DA126" s="514"/>
      <c r="DE126" s="250">
        <v>226</v>
      </c>
    </row>
    <row r="128" spans="1:109" ht="10.5" customHeight="1" x14ac:dyDescent="0.25"/>
    <row r="129" spans="1:109" ht="10.5" customHeight="1" x14ac:dyDescent="0.25"/>
    <row r="130" spans="1:109" s="248" customFormat="1" ht="14.25" x14ac:dyDescent="0.2">
      <c r="A130" s="527" t="s">
        <v>641</v>
      </c>
      <c r="B130" s="527"/>
      <c r="C130" s="527"/>
      <c r="D130" s="527"/>
      <c r="E130" s="527"/>
      <c r="F130" s="527"/>
      <c r="G130" s="527"/>
      <c r="H130" s="527"/>
      <c r="I130" s="527"/>
      <c r="J130" s="527"/>
      <c r="K130" s="527"/>
      <c r="L130" s="527"/>
      <c r="M130" s="527"/>
      <c r="N130" s="527"/>
      <c r="O130" s="527"/>
      <c r="P130" s="527"/>
      <c r="Q130" s="527"/>
      <c r="R130" s="527"/>
      <c r="S130" s="527"/>
      <c r="T130" s="527"/>
      <c r="U130" s="527"/>
      <c r="V130" s="527"/>
      <c r="W130" s="527"/>
      <c r="X130" s="527"/>
      <c r="Y130" s="527"/>
      <c r="Z130" s="527"/>
      <c r="AA130" s="527"/>
      <c r="AB130" s="527"/>
      <c r="AC130" s="527"/>
      <c r="AD130" s="527"/>
      <c r="AE130" s="527"/>
      <c r="AF130" s="527"/>
      <c r="AG130" s="527"/>
      <c r="AH130" s="527"/>
      <c r="AI130" s="527"/>
      <c r="AJ130" s="527"/>
      <c r="AK130" s="527"/>
      <c r="AL130" s="527"/>
      <c r="AM130" s="527"/>
      <c r="AN130" s="527"/>
      <c r="AO130" s="527"/>
      <c r="AP130" s="527"/>
      <c r="AQ130" s="527"/>
      <c r="AR130" s="527"/>
      <c r="AS130" s="527"/>
      <c r="AT130" s="527"/>
      <c r="AU130" s="527"/>
      <c r="AV130" s="527"/>
      <c r="AW130" s="527"/>
      <c r="AX130" s="527"/>
      <c r="AY130" s="527"/>
      <c r="AZ130" s="527"/>
      <c r="BA130" s="527"/>
      <c r="BB130" s="527"/>
      <c r="BC130" s="527"/>
      <c r="BD130" s="527"/>
      <c r="BE130" s="527"/>
      <c r="BF130" s="527"/>
      <c r="BG130" s="527"/>
      <c r="BH130" s="527"/>
      <c r="BI130" s="527"/>
      <c r="BJ130" s="527"/>
      <c r="BK130" s="527"/>
      <c r="BL130" s="527"/>
      <c r="BM130" s="527"/>
      <c r="BN130" s="527"/>
      <c r="BO130" s="527"/>
      <c r="BP130" s="527"/>
      <c r="BQ130" s="527"/>
      <c r="BR130" s="527"/>
      <c r="BS130" s="527"/>
      <c r="BT130" s="527"/>
      <c r="BU130" s="527"/>
      <c r="BV130" s="527"/>
      <c r="BW130" s="527"/>
      <c r="BX130" s="527"/>
      <c r="BY130" s="527"/>
      <c r="BZ130" s="527"/>
      <c r="CA130" s="527"/>
      <c r="CB130" s="527"/>
      <c r="CC130" s="527"/>
      <c r="CD130" s="527"/>
      <c r="CE130" s="527"/>
      <c r="CF130" s="527"/>
      <c r="CG130" s="527"/>
      <c r="CH130" s="527"/>
      <c r="CI130" s="527"/>
      <c r="CJ130" s="527"/>
      <c r="CK130" s="527"/>
      <c r="CL130" s="527"/>
      <c r="CM130" s="527"/>
      <c r="CN130" s="527"/>
      <c r="CO130" s="527"/>
      <c r="CP130" s="527"/>
      <c r="CQ130" s="527"/>
      <c r="CR130" s="527"/>
      <c r="CS130" s="527"/>
      <c r="CT130" s="527"/>
      <c r="CU130" s="527"/>
      <c r="CV130" s="527"/>
      <c r="CW130" s="527"/>
      <c r="CX130" s="527"/>
      <c r="CY130" s="527"/>
      <c r="CZ130" s="527"/>
      <c r="DA130" s="527"/>
      <c r="DE130" s="96" t="s">
        <v>642</v>
      </c>
    </row>
    <row r="131" spans="1:109" ht="10.5" customHeight="1" x14ac:dyDescent="0.25"/>
    <row r="132" spans="1:109" s="251" customFormat="1" ht="45" customHeight="1" x14ac:dyDescent="0.25">
      <c r="A132" s="534" t="s">
        <v>176</v>
      </c>
      <c r="B132" s="535"/>
      <c r="C132" s="535"/>
      <c r="D132" s="535"/>
      <c r="E132" s="535"/>
      <c r="F132" s="535"/>
      <c r="G132" s="536"/>
      <c r="H132" s="534" t="s">
        <v>225</v>
      </c>
      <c r="I132" s="535"/>
      <c r="J132" s="535"/>
      <c r="K132" s="535"/>
      <c r="L132" s="535"/>
      <c r="M132" s="535"/>
      <c r="N132" s="535"/>
      <c r="O132" s="535"/>
      <c r="P132" s="535"/>
      <c r="Q132" s="535"/>
      <c r="R132" s="535"/>
      <c r="S132" s="535"/>
      <c r="T132" s="535"/>
      <c r="U132" s="535"/>
      <c r="V132" s="535"/>
      <c r="W132" s="535"/>
      <c r="X132" s="535"/>
      <c r="Y132" s="535"/>
      <c r="Z132" s="535"/>
      <c r="AA132" s="535"/>
      <c r="AB132" s="535"/>
      <c r="AC132" s="535"/>
      <c r="AD132" s="535"/>
      <c r="AE132" s="535"/>
      <c r="AF132" s="535"/>
      <c r="AG132" s="535"/>
      <c r="AH132" s="535"/>
      <c r="AI132" s="535"/>
      <c r="AJ132" s="535"/>
      <c r="AK132" s="535"/>
      <c r="AL132" s="535"/>
      <c r="AM132" s="535"/>
      <c r="AN132" s="535"/>
      <c r="AO132" s="536"/>
      <c r="AP132" s="534" t="s">
        <v>643</v>
      </c>
      <c r="AQ132" s="535"/>
      <c r="AR132" s="535"/>
      <c r="AS132" s="535"/>
      <c r="AT132" s="535"/>
      <c r="AU132" s="535"/>
      <c r="AV132" s="535"/>
      <c r="AW132" s="535"/>
      <c r="AX132" s="535"/>
      <c r="AY132" s="535"/>
      <c r="AZ132" s="535"/>
      <c r="BA132" s="535"/>
      <c r="BB132" s="535"/>
      <c r="BC132" s="535"/>
      <c r="BD132" s="535"/>
      <c r="BE132" s="536"/>
      <c r="BF132" s="534" t="s">
        <v>644</v>
      </c>
      <c r="BG132" s="535"/>
      <c r="BH132" s="535"/>
      <c r="BI132" s="535"/>
      <c r="BJ132" s="535"/>
      <c r="BK132" s="535"/>
      <c r="BL132" s="535"/>
      <c r="BM132" s="535"/>
      <c r="BN132" s="535"/>
      <c r="BO132" s="535"/>
      <c r="BP132" s="535"/>
      <c r="BQ132" s="535"/>
      <c r="BR132" s="535"/>
      <c r="BS132" s="535"/>
      <c r="BT132" s="535"/>
      <c r="BU132" s="536"/>
      <c r="BV132" s="534" t="s">
        <v>645</v>
      </c>
      <c r="BW132" s="535"/>
      <c r="BX132" s="535"/>
      <c r="BY132" s="535"/>
      <c r="BZ132" s="535"/>
      <c r="CA132" s="535"/>
      <c r="CB132" s="535"/>
      <c r="CC132" s="535"/>
      <c r="CD132" s="535"/>
      <c r="CE132" s="535"/>
      <c r="CF132" s="535"/>
      <c r="CG132" s="535"/>
      <c r="CH132" s="535"/>
      <c r="CI132" s="535"/>
      <c r="CJ132" s="535"/>
      <c r="CK132" s="536"/>
      <c r="CL132" s="534" t="s">
        <v>646</v>
      </c>
      <c r="CM132" s="535"/>
      <c r="CN132" s="535"/>
      <c r="CO132" s="535"/>
      <c r="CP132" s="535"/>
      <c r="CQ132" s="535"/>
      <c r="CR132" s="535"/>
      <c r="CS132" s="535"/>
      <c r="CT132" s="535"/>
      <c r="CU132" s="535"/>
      <c r="CV132" s="535"/>
      <c r="CW132" s="535"/>
      <c r="CX132" s="535"/>
      <c r="CY132" s="535"/>
      <c r="CZ132" s="535"/>
      <c r="DA132" s="536"/>
    </row>
    <row r="133" spans="1:109" s="187" customFormat="1" ht="12.75" x14ac:dyDescent="0.25">
      <c r="A133" s="515">
        <v>1</v>
      </c>
      <c r="B133" s="515"/>
      <c r="C133" s="515"/>
      <c r="D133" s="515"/>
      <c r="E133" s="515"/>
      <c r="F133" s="515"/>
      <c r="G133" s="515"/>
      <c r="H133" s="515">
        <v>2</v>
      </c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  <c r="Z133" s="515"/>
      <c r="AA133" s="515"/>
      <c r="AB133" s="515"/>
      <c r="AC133" s="515"/>
      <c r="AD133" s="515"/>
      <c r="AE133" s="515"/>
      <c r="AF133" s="515"/>
      <c r="AG133" s="515"/>
      <c r="AH133" s="515"/>
      <c r="AI133" s="515"/>
      <c r="AJ133" s="515"/>
      <c r="AK133" s="515"/>
      <c r="AL133" s="515"/>
      <c r="AM133" s="515"/>
      <c r="AN133" s="515"/>
      <c r="AO133" s="515"/>
      <c r="AP133" s="515">
        <v>4</v>
      </c>
      <c r="AQ133" s="515"/>
      <c r="AR133" s="515"/>
      <c r="AS133" s="515"/>
      <c r="AT133" s="515"/>
      <c r="AU133" s="515"/>
      <c r="AV133" s="515"/>
      <c r="AW133" s="515"/>
      <c r="AX133" s="515"/>
      <c r="AY133" s="515"/>
      <c r="AZ133" s="515"/>
      <c r="BA133" s="515"/>
      <c r="BB133" s="515"/>
      <c r="BC133" s="515"/>
      <c r="BD133" s="515"/>
      <c r="BE133" s="515"/>
      <c r="BF133" s="515">
        <v>5</v>
      </c>
      <c r="BG133" s="515"/>
      <c r="BH133" s="515"/>
      <c r="BI133" s="515"/>
      <c r="BJ133" s="515"/>
      <c r="BK133" s="515"/>
      <c r="BL133" s="515"/>
      <c r="BM133" s="515"/>
      <c r="BN133" s="515"/>
      <c r="BO133" s="515"/>
      <c r="BP133" s="515"/>
      <c r="BQ133" s="515"/>
      <c r="BR133" s="515"/>
      <c r="BS133" s="515"/>
      <c r="BT133" s="515"/>
      <c r="BU133" s="515"/>
      <c r="BV133" s="515">
        <v>6</v>
      </c>
      <c r="BW133" s="515"/>
      <c r="BX133" s="515"/>
      <c r="BY133" s="515"/>
      <c r="BZ133" s="515"/>
      <c r="CA133" s="515"/>
      <c r="CB133" s="515"/>
      <c r="CC133" s="515"/>
      <c r="CD133" s="515"/>
      <c r="CE133" s="515"/>
      <c r="CF133" s="515"/>
      <c r="CG133" s="515"/>
      <c r="CH133" s="515"/>
      <c r="CI133" s="515"/>
      <c r="CJ133" s="515"/>
      <c r="CK133" s="515"/>
      <c r="CL133" s="515">
        <v>6</v>
      </c>
      <c r="CM133" s="515"/>
      <c r="CN133" s="515"/>
      <c r="CO133" s="515"/>
      <c r="CP133" s="515"/>
      <c r="CQ133" s="515"/>
      <c r="CR133" s="515"/>
      <c r="CS133" s="515"/>
      <c r="CT133" s="515"/>
      <c r="CU133" s="515"/>
      <c r="CV133" s="515"/>
      <c r="CW133" s="515"/>
      <c r="CX133" s="515"/>
      <c r="CY133" s="515"/>
      <c r="CZ133" s="515"/>
      <c r="DA133" s="515"/>
    </row>
    <row r="134" spans="1:109" s="250" customFormat="1" ht="15" customHeight="1" x14ac:dyDescent="0.25">
      <c r="A134" s="508" t="s">
        <v>647</v>
      </c>
      <c r="B134" s="508"/>
      <c r="C134" s="508"/>
      <c r="D134" s="508"/>
      <c r="E134" s="508"/>
      <c r="F134" s="508"/>
      <c r="G134" s="508"/>
      <c r="H134" s="509" t="s">
        <v>648</v>
      </c>
      <c r="I134" s="509"/>
      <c r="J134" s="509"/>
      <c r="K134" s="509"/>
      <c r="L134" s="509"/>
      <c r="M134" s="509"/>
      <c r="N134" s="509"/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/>
      <c r="AA134" s="509"/>
      <c r="AB134" s="509"/>
      <c r="AC134" s="509"/>
      <c r="AD134" s="509"/>
      <c r="AE134" s="509"/>
      <c r="AF134" s="509"/>
      <c r="AG134" s="509"/>
      <c r="AH134" s="509"/>
      <c r="AI134" s="509"/>
      <c r="AJ134" s="509"/>
      <c r="AK134" s="509"/>
      <c r="AL134" s="509"/>
      <c r="AM134" s="509"/>
      <c r="AN134" s="509"/>
      <c r="AO134" s="509"/>
      <c r="AP134" s="510"/>
      <c r="AQ134" s="510"/>
      <c r="AR134" s="510"/>
      <c r="AS134" s="510"/>
      <c r="AT134" s="510"/>
      <c r="AU134" s="510"/>
      <c r="AV134" s="510"/>
      <c r="AW134" s="510"/>
      <c r="AX134" s="510"/>
      <c r="AY134" s="510"/>
      <c r="AZ134" s="510"/>
      <c r="BA134" s="510"/>
      <c r="BB134" s="510"/>
      <c r="BC134" s="510"/>
      <c r="BD134" s="510"/>
      <c r="BE134" s="510"/>
      <c r="BF134" s="511"/>
      <c r="BG134" s="511"/>
      <c r="BH134" s="511"/>
      <c r="BI134" s="511"/>
      <c r="BJ134" s="511"/>
      <c r="BK134" s="511"/>
      <c r="BL134" s="511"/>
      <c r="BM134" s="511"/>
      <c r="BN134" s="511"/>
      <c r="BO134" s="511"/>
      <c r="BP134" s="511"/>
      <c r="BQ134" s="511"/>
      <c r="BR134" s="511"/>
      <c r="BS134" s="511"/>
      <c r="BT134" s="511"/>
      <c r="BU134" s="511"/>
      <c r="BV134" s="510"/>
      <c r="BW134" s="510"/>
      <c r="BX134" s="510"/>
      <c r="BY134" s="510"/>
      <c r="BZ134" s="510"/>
      <c r="CA134" s="510"/>
      <c r="CB134" s="510"/>
      <c r="CC134" s="510"/>
      <c r="CD134" s="510"/>
      <c r="CE134" s="510"/>
      <c r="CF134" s="510"/>
      <c r="CG134" s="510"/>
      <c r="CH134" s="510"/>
      <c r="CI134" s="510"/>
      <c r="CJ134" s="510"/>
      <c r="CK134" s="510"/>
      <c r="CL134" s="511">
        <v>6229166</v>
      </c>
      <c r="CM134" s="511"/>
      <c r="CN134" s="511"/>
      <c r="CO134" s="511"/>
      <c r="CP134" s="511"/>
      <c r="CQ134" s="511"/>
      <c r="CR134" s="511"/>
      <c r="CS134" s="511"/>
      <c r="CT134" s="511"/>
      <c r="CU134" s="511"/>
      <c r="CV134" s="511"/>
      <c r="CW134" s="511"/>
      <c r="CX134" s="511"/>
      <c r="CY134" s="511"/>
      <c r="CZ134" s="511"/>
      <c r="DA134" s="511"/>
      <c r="DE134" s="257"/>
    </row>
    <row r="135" spans="1:109" s="250" customFormat="1" ht="15" customHeight="1" x14ac:dyDescent="0.25">
      <c r="A135" s="508" t="s">
        <v>649</v>
      </c>
      <c r="B135" s="508"/>
      <c r="C135" s="508"/>
      <c r="D135" s="508"/>
      <c r="E135" s="508"/>
      <c r="F135" s="508"/>
      <c r="G135" s="508"/>
      <c r="H135" s="509" t="s">
        <v>650</v>
      </c>
      <c r="I135" s="509"/>
      <c r="J135" s="509"/>
      <c r="K135" s="509"/>
      <c r="L135" s="509"/>
      <c r="M135" s="509"/>
      <c r="N135" s="509"/>
      <c r="O135" s="509"/>
      <c r="P135" s="509"/>
      <c r="Q135" s="509"/>
      <c r="R135" s="509"/>
      <c r="S135" s="509"/>
      <c r="T135" s="509"/>
      <c r="U135" s="509"/>
      <c r="V135" s="509"/>
      <c r="W135" s="509"/>
      <c r="X135" s="509"/>
      <c r="Y135" s="509"/>
      <c r="Z135" s="509"/>
      <c r="AA135" s="509"/>
      <c r="AB135" s="509"/>
      <c r="AC135" s="509"/>
      <c r="AD135" s="509"/>
      <c r="AE135" s="509"/>
      <c r="AF135" s="509"/>
      <c r="AG135" s="509"/>
      <c r="AH135" s="509"/>
      <c r="AI135" s="509"/>
      <c r="AJ135" s="509"/>
      <c r="AK135" s="509"/>
      <c r="AL135" s="509"/>
      <c r="AM135" s="509"/>
      <c r="AN135" s="509"/>
      <c r="AO135" s="509"/>
      <c r="AP135" s="510"/>
      <c r="AQ135" s="510"/>
      <c r="AR135" s="510"/>
      <c r="AS135" s="510"/>
      <c r="AT135" s="510"/>
      <c r="AU135" s="510"/>
      <c r="AV135" s="510"/>
      <c r="AW135" s="510"/>
      <c r="AX135" s="510"/>
      <c r="AY135" s="510"/>
      <c r="AZ135" s="510"/>
      <c r="BA135" s="510"/>
      <c r="BB135" s="510"/>
      <c r="BC135" s="510"/>
      <c r="BD135" s="510"/>
      <c r="BE135" s="510"/>
      <c r="BF135" s="511"/>
      <c r="BG135" s="511"/>
      <c r="BH135" s="511"/>
      <c r="BI135" s="511"/>
      <c r="BJ135" s="511"/>
      <c r="BK135" s="511"/>
      <c r="BL135" s="511"/>
      <c r="BM135" s="511"/>
      <c r="BN135" s="511"/>
      <c r="BO135" s="511"/>
      <c r="BP135" s="511"/>
      <c r="BQ135" s="511"/>
      <c r="BR135" s="511"/>
      <c r="BS135" s="511"/>
      <c r="BT135" s="511"/>
      <c r="BU135" s="511"/>
      <c r="BV135" s="510"/>
      <c r="BW135" s="510"/>
      <c r="BX135" s="510"/>
      <c r="BY135" s="510"/>
      <c r="BZ135" s="510"/>
      <c r="CA135" s="510"/>
      <c r="CB135" s="510"/>
      <c r="CC135" s="510"/>
      <c r="CD135" s="510"/>
      <c r="CE135" s="510"/>
      <c r="CF135" s="510"/>
      <c r="CG135" s="510"/>
      <c r="CH135" s="510"/>
      <c r="CI135" s="510"/>
      <c r="CJ135" s="510"/>
      <c r="CK135" s="510"/>
      <c r="CL135" s="511">
        <v>692234</v>
      </c>
      <c r="CM135" s="511"/>
      <c r="CN135" s="511"/>
      <c r="CO135" s="511"/>
      <c r="CP135" s="511"/>
      <c r="CQ135" s="511"/>
      <c r="CR135" s="511"/>
      <c r="CS135" s="511"/>
      <c r="CT135" s="511"/>
      <c r="CU135" s="511"/>
      <c r="CV135" s="511"/>
      <c r="CW135" s="511"/>
      <c r="CX135" s="511"/>
      <c r="CY135" s="511"/>
      <c r="CZ135" s="511"/>
      <c r="DA135" s="511"/>
    </row>
    <row r="136" spans="1:109" s="250" customFormat="1" ht="15" customHeight="1" x14ac:dyDescent="0.25">
      <c r="A136" s="508" t="s">
        <v>651</v>
      </c>
      <c r="B136" s="508"/>
      <c r="C136" s="508"/>
      <c r="D136" s="508"/>
      <c r="E136" s="508"/>
      <c r="F136" s="508"/>
      <c r="G136" s="508"/>
      <c r="H136" s="509" t="s">
        <v>652</v>
      </c>
      <c r="I136" s="509"/>
      <c r="J136" s="509"/>
      <c r="K136" s="509"/>
      <c r="L136" s="509"/>
      <c r="M136" s="509"/>
      <c r="N136" s="509"/>
      <c r="O136" s="509"/>
      <c r="P136" s="509"/>
      <c r="Q136" s="509"/>
      <c r="R136" s="509"/>
      <c r="S136" s="509"/>
      <c r="T136" s="509"/>
      <c r="U136" s="509"/>
      <c r="V136" s="509"/>
      <c r="W136" s="509"/>
      <c r="X136" s="509"/>
      <c r="Y136" s="509"/>
      <c r="Z136" s="509"/>
      <c r="AA136" s="509"/>
      <c r="AB136" s="509"/>
      <c r="AC136" s="509"/>
      <c r="AD136" s="509"/>
      <c r="AE136" s="509"/>
      <c r="AF136" s="509"/>
      <c r="AG136" s="509"/>
      <c r="AH136" s="509"/>
      <c r="AI136" s="509"/>
      <c r="AJ136" s="509"/>
      <c r="AK136" s="509"/>
      <c r="AL136" s="509"/>
      <c r="AM136" s="509"/>
      <c r="AN136" s="509"/>
      <c r="AO136" s="509"/>
      <c r="AP136" s="510"/>
      <c r="AQ136" s="510"/>
      <c r="AR136" s="510"/>
      <c r="AS136" s="510"/>
      <c r="AT136" s="510"/>
      <c r="AU136" s="510"/>
      <c r="AV136" s="510"/>
      <c r="AW136" s="510"/>
      <c r="AX136" s="510"/>
      <c r="AY136" s="510"/>
      <c r="AZ136" s="510"/>
      <c r="BA136" s="510"/>
      <c r="BB136" s="510"/>
      <c r="BC136" s="510"/>
      <c r="BD136" s="510"/>
      <c r="BE136" s="510"/>
      <c r="BF136" s="511"/>
      <c r="BG136" s="511"/>
      <c r="BH136" s="511"/>
      <c r="BI136" s="511"/>
      <c r="BJ136" s="511"/>
      <c r="BK136" s="511"/>
      <c r="BL136" s="511"/>
      <c r="BM136" s="511"/>
      <c r="BN136" s="511"/>
      <c r="BO136" s="511"/>
      <c r="BP136" s="511"/>
      <c r="BQ136" s="511"/>
      <c r="BR136" s="511"/>
      <c r="BS136" s="511"/>
      <c r="BT136" s="511"/>
      <c r="BU136" s="511"/>
      <c r="BV136" s="510"/>
      <c r="BW136" s="510"/>
      <c r="BX136" s="510"/>
      <c r="BY136" s="510"/>
      <c r="BZ136" s="510"/>
      <c r="CA136" s="510"/>
      <c r="CB136" s="510"/>
      <c r="CC136" s="510"/>
      <c r="CD136" s="510"/>
      <c r="CE136" s="510"/>
      <c r="CF136" s="510"/>
      <c r="CG136" s="510"/>
      <c r="CH136" s="510"/>
      <c r="CI136" s="510"/>
      <c r="CJ136" s="510"/>
      <c r="CK136" s="510"/>
      <c r="CL136" s="511"/>
      <c r="CM136" s="511"/>
      <c r="CN136" s="511"/>
      <c r="CO136" s="511"/>
      <c r="CP136" s="511"/>
      <c r="CQ136" s="511"/>
      <c r="CR136" s="511"/>
      <c r="CS136" s="511"/>
      <c r="CT136" s="511"/>
      <c r="CU136" s="511"/>
      <c r="CV136" s="511"/>
      <c r="CW136" s="511"/>
      <c r="CX136" s="511"/>
      <c r="CY136" s="511"/>
      <c r="CZ136" s="511"/>
      <c r="DA136" s="511"/>
    </row>
    <row r="137" spans="1:109" s="250" customFormat="1" ht="15" customHeight="1" x14ac:dyDescent="0.25">
      <c r="A137" s="508"/>
      <c r="B137" s="508"/>
      <c r="C137" s="508"/>
      <c r="D137" s="508"/>
      <c r="E137" s="508"/>
      <c r="F137" s="508"/>
      <c r="G137" s="508"/>
      <c r="H137" s="539" t="s">
        <v>521</v>
      </c>
      <c r="I137" s="512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512"/>
      <c r="AE137" s="512"/>
      <c r="AF137" s="512"/>
      <c r="AG137" s="512"/>
      <c r="AH137" s="512"/>
      <c r="AI137" s="512"/>
      <c r="AJ137" s="512"/>
      <c r="AK137" s="512"/>
      <c r="AL137" s="512"/>
      <c r="AM137" s="512"/>
      <c r="AN137" s="512"/>
      <c r="AO137" s="513"/>
      <c r="AP137" s="510" t="s">
        <v>494</v>
      </c>
      <c r="AQ137" s="510"/>
      <c r="AR137" s="510"/>
      <c r="AS137" s="510"/>
      <c r="AT137" s="510"/>
      <c r="AU137" s="510"/>
      <c r="AV137" s="510"/>
      <c r="AW137" s="510"/>
      <c r="AX137" s="510"/>
      <c r="AY137" s="510"/>
      <c r="AZ137" s="510"/>
      <c r="BA137" s="510"/>
      <c r="BB137" s="510"/>
      <c r="BC137" s="510"/>
      <c r="BD137" s="510"/>
      <c r="BE137" s="510"/>
      <c r="BF137" s="510" t="s">
        <v>494</v>
      </c>
      <c r="BG137" s="510"/>
      <c r="BH137" s="510"/>
      <c r="BI137" s="510"/>
      <c r="BJ137" s="510"/>
      <c r="BK137" s="510"/>
      <c r="BL137" s="510"/>
      <c r="BM137" s="510"/>
      <c r="BN137" s="510"/>
      <c r="BO137" s="510"/>
      <c r="BP137" s="510"/>
      <c r="BQ137" s="510"/>
      <c r="BR137" s="510"/>
      <c r="BS137" s="510"/>
      <c r="BT137" s="510"/>
      <c r="BU137" s="510"/>
      <c r="BV137" s="510" t="s">
        <v>494</v>
      </c>
      <c r="BW137" s="510"/>
      <c r="BX137" s="510"/>
      <c r="BY137" s="510"/>
      <c r="BZ137" s="510"/>
      <c r="CA137" s="510"/>
      <c r="CB137" s="510"/>
      <c r="CC137" s="510"/>
      <c r="CD137" s="510"/>
      <c r="CE137" s="510"/>
      <c r="CF137" s="510"/>
      <c r="CG137" s="510"/>
      <c r="CH137" s="510"/>
      <c r="CI137" s="510"/>
      <c r="CJ137" s="510"/>
      <c r="CK137" s="510"/>
      <c r="CL137" s="514">
        <f>CL134+CL135+CL136</f>
        <v>6921400</v>
      </c>
      <c r="CM137" s="514"/>
      <c r="CN137" s="514"/>
      <c r="CO137" s="514"/>
      <c r="CP137" s="514"/>
      <c r="CQ137" s="514"/>
      <c r="CR137" s="514"/>
      <c r="CS137" s="514"/>
      <c r="CT137" s="514"/>
      <c r="CU137" s="514"/>
      <c r="CV137" s="514"/>
      <c r="CW137" s="514"/>
      <c r="CX137" s="514"/>
      <c r="CY137" s="514"/>
      <c r="CZ137" s="514"/>
      <c r="DA137" s="514"/>
      <c r="DE137" s="250">
        <v>223</v>
      </c>
    </row>
    <row r="139" spans="1:109" s="248" customFormat="1" ht="39" hidden="1" customHeight="1" x14ac:dyDescent="0.2">
      <c r="A139" s="519" t="s">
        <v>653</v>
      </c>
      <c r="B139" s="519"/>
      <c r="C139" s="519"/>
      <c r="D139" s="519"/>
      <c r="E139" s="519"/>
      <c r="F139" s="519"/>
      <c r="G139" s="519"/>
      <c r="H139" s="519"/>
      <c r="I139" s="519"/>
      <c r="J139" s="519"/>
      <c r="K139" s="519"/>
      <c r="L139" s="519"/>
      <c r="M139" s="519"/>
      <c r="N139" s="519"/>
      <c r="O139" s="519"/>
      <c r="P139" s="519"/>
      <c r="Q139" s="519"/>
      <c r="R139" s="519"/>
      <c r="S139" s="519"/>
      <c r="T139" s="519"/>
      <c r="U139" s="519"/>
      <c r="V139" s="519"/>
      <c r="W139" s="519"/>
      <c r="X139" s="519"/>
      <c r="Y139" s="519"/>
      <c r="Z139" s="519"/>
      <c r="AA139" s="519"/>
      <c r="AB139" s="519"/>
      <c r="AC139" s="519"/>
      <c r="AD139" s="519"/>
      <c r="AE139" s="519"/>
      <c r="AF139" s="519"/>
      <c r="AG139" s="519"/>
      <c r="AH139" s="519"/>
      <c r="AI139" s="519"/>
      <c r="AJ139" s="519"/>
      <c r="AK139" s="519"/>
      <c r="AL139" s="519"/>
      <c r="AM139" s="519"/>
      <c r="AN139" s="519"/>
      <c r="AO139" s="519"/>
      <c r="AP139" s="519"/>
      <c r="AQ139" s="519"/>
      <c r="AR139" s="519"/>
      <c r="AS139" s="519"/>
      <c r="AT139" s="519"/>
      <c r="AU139" s="519"/>
      <c r="AV139" s="519"/>
      <c r="AW139" s="519"/>
      <c r="AX139" s="519"/>
      <c r="AY139" s="519"/>
      <c r="AZ139" s="519"/>
      <c r="BA139" s="519"/>
      <c r="BB139" s="519"/>
      <c r="BC139" s="519"/>
      <c r="BD139" s="519"/>
      <c r="BE139" s="519"/>
      <c r="BF139" s="519"/>
      <c r="BG139" s="519"/>
      <c r="BH139" s="519"/>
      <c r="BI139" s="519"/>
      <c r="BJ139" s="519"/>
      <c r="BK139" s="519"/>
      <c r="BL139" s="519"/>
      <c r="BM139" s="519"/>
      <c r="BN139" s="519"/>
      <c r="BO139" s="519"/>
      <c r="BP139" s="519"/>
      <c r="BQ139" s="519"/>
      <c r="BR139" s="519"/>
      <c r="BS139" s="519"/>
      <c r="BT139" s="519"/>
      <c r="BU139" s="519"/>
      <c r="BV139" s="519"/>
      <c r="BW139" s="519"/>
      <c r="BX139" s="519"/>
      <c r="BY139" s="519"/>
      <c r="BZ139" s="519"/>
      <c r="CA139" s="519"/>
      <c r="CB139" s="519"/>
      <c r="CC139" s="519"/>
      <c r="CD139" s="519"/>
      <c r="CE139" s="519"/>
      <c r="CF139" s="519"/>
      <c r="CG139" s="519"/>
      <c r="CH139" s="519"/>
      <c r="CI139" s="519"/>
      <c r="CJ139" s="519"/>
      <c r="CK139" s="519"/>
      <c r="CL139" s="519"/>
      <c r="CM139" s="519"/>
      <c r="CN139" s="519"/>
      <c r="CO139" s="519"/>
      <c r="CP139" s="519"/>
      <c r="CQ139" s="519"/>
      <c r="CR139" s="519"/>
      <c r="CS139" s="519"/>
      <c r="CT139" s="519"/>
      <c r="CU139" s="519"/>
      <c r="CV139" s="519"/>
      <c r="CW139" s="519"/>
      <c r="CX139" s="519"/>
      <c r="CY139" s="519"/>
      <c r="CZ139" s="519"/>
      <c r="DA139" s="519"/>
      <c r="DE139" s="96" t="s">
        <v>654</v>
      </c>
    </row>
    <row r="140" spans="1:109" ht="10.5" hidden="1" customHeight="1" x14ac:dyDescent="0.25"/>
    <row r="141" spans="1:109" s="251" customFormat="1" ht="45" hidden="1" customHeight="1" x14ac:dyDescent="0.25">
      <c r="A141" s="534" t="s">
        <v>176</v>
      </c>
      <c r="B141" s="535"/>
      <c r="C141" s="535"/>
      <c r="D141" s="535"/>
      <c r="E141" s="535"/>
      <c r="F141" s="535"/>
      <c r="G141" s="536"/>
      <c r="H141" s="534" t="s">
        <v>225</v>
      </c>
      <c r="I141" s="535"/>
      <c r="J141" s="535"/>
      <c r="K141" s="535"/>
      <c r="L141" s="535"/>
      <c r="M141" s="535"/>
      <c r="N141" s="535"/>
      <c r="O141" s="535"/>
      <c r="P141" s="535"/>
      <c r="Q141" s="535"/>
      <c r="R141" s="535"/>
      <c r="S141" s="535"/>
      <c r="T141" s="535"/>
      <c r="U141" s="535"/>
      <c r="V141" s="535"/>
      <c r="W141" s="535"/>
      <c r="X141" s="535"/>
      <c r="Y141" s="535"/>
      <c r="Z141" s="535"/>
      <c r="AA141" s="535"/>
      <c r="AB141" s="535"/>
      <c r="AC141" s="535"/>
      <c r="AD141" s="535"/>
      <c r="AE141" s="535"/>
      <c r="AF141" s="535"/>
      <c r="AG141" s="535"/>
      <c r="AH141" s="535"/>
      <c r="AI141" s="535"/>
      <c r="AJ141" s="535"/>
      <c r="AK141" s="535"/>
      <c r="AL141" s="535"/>
      <c r="AM141" s="535"/>
      <c r="AN141" s="535"/>
      <c r="AO141" s="536"/>
      <c r="AP141" s="534" t="s">
        <v>643</v>
      </c>
      <c r="AQ141" s="535"/>
      <c r="AR141" s="535"/>
      <c r="AS141" s="535"/>
      <c r="AT141" s="535"/>
      <c r="AU141" s="535"/>
      <c r="AV141" s="535"/>
      <c r="AW141" s="535"/>
      <c r="AX141" s="535"/>
      <c r="AY141" s="535"/>
      <c r="AZ141" s="535"/>
      <c r="BA141" s="535"/>
      <c r="BB141" s="535"/>
      <c r="BC141" s="535"/>
      <c r="BD141" s="535"/>
      <c r="BE141" s="536"/>
      <c r="BF141" s="534" t="s">
        <v>644</v>
      </c>
      <c r="BG141" s="535"/>
      <c r="BH141" s="535"/>
      <c r="BI141" s="535"/>
      <c r="BJ141" s="535"/>
      <c r="BK141" s="535"/>
      <c r="BL141" s="535"/>
      <c r="BM141" s="535"/>
      <c r="BN141" s="535"/>
      <c r="BO141" s="535"/>
      <c r="BP141" s="535"/>
      <c r="BQ141" s="535"/>
      <c r="BR141" s="535"/>
      <c r="BS141" s="535"/>
      <c r="BT141" s="535"/>
      <c r="BU141" s="536"/>
      <c r="BV141" s="534" t="s">
        <v>645</v>
      </c>
      <c r="BW141" s="535"/>
      <c r="BX141" s="535"/>
      <c r="BY141" s="535"/>
      <c r="BZ141" s="535"/>
      <c r="CA141" s="535"/>
      <c r="CB141" s="535"/>
      <c r="CC141" s="535"/>
      <c r="CD141" s="535"/>
      <c r="CE141" s="535"/>
      <c r="CF141" s="535"/>
      <c r="CG141" s="535"/>
      <c r="CH141" s="535"/>
      <c r="CI141" s="535"/>
      <c r="CJ141" s="535"/>
      <c r="CK141" s="536"/>
      <c r="CL141" s="534" t="s">
        <v>646</v>
      </c>
      <c r="CM141" s="535"/>
      <c r="CN141" s="535"/>
      <c r="CO141" s="535"/>
      <c r="CP141" s="535"/>
      <c r="CQ141" s="535"/>
      <c r="CR141" s="535"/>
      <c r="CS141" s="535"/>
      <c r="CT141" s="535"/>
      <c r="CU141" s="535"/>
      <c r="CV141" s="535"/>
      <c r="CW141" s="535"/>
      <c r="CX141" s="535"/>
      <c r="CY141" s="535"/>
      <c r="CZ141" s="535"/>
      <c r="DA141" s="536"/>
    </row>
    <row r="142" spans="1:109" s="187" customFormat="1" ht="12.75" hidden="1" x14ac:dyDescent="0.25">
      <c r="A142" s="515">
        <v>1</v>
      </c>
      <c r="B142" s="515"/>
      <c r="C142" s="515"/>
      <c r="D142" s="515"/>
      <c r="E142" s="515"/>
      <c r="F142" s="515"/>
      <c r="G142" s="515"/>
      <c r="H142" s="515">
        <v>2</v>
      </c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  <c r="X142" s="515"/>
      <c r="Y142" s="515"/>
      <c r="Z142" s="515"/>
      <c r="AA142" s="515"/>
      <c r="AB142" s="515"/>
      <c r="AC142" s="515"/>
      <c r="AD142" s="515"/>
      <c r="AE142" s="515"/>
      <c r="AF142" s="515"/>
      <c r="AG142" s="515"/>
      <c r="AH142" s="515"/>
      <c r="AI142" s="515"/>
      <c r="AJ142" s="515"/>
      <c r="AK142" s="515"/>
      <c r="AL142" s="515"/>
      <c r="AM142" s="515"/>
      <c r="AN142" s="515"/>
      <c r="AO142" s="515"/>
      <c r="AP142" s="515">
        <v>4</v>
      </c>
      <c r="AQ142" s="515"/>
      <c r="AR142" s="515"/>
      <c r="AS142" s="515"/>
      <c r="AT142" s="515"/>
      <c r="AU142" s="515"/>
      <c r="AV142" s="515"/>
      <c r="AW142" s="515"/>
      <c r="AX142" s="515"/>
      <c r="AY142" s="515"/>
      <c r="AZ142" s="515"/>
      <c r="BA142" s="515"/>
      <c r="BB142" s="515"/>
      <c r="BC142" s="515"/>
      <c r="BD142" s="515"/>
      <c r="BE142" s="515"/>
      <c r="BF142" s="515">
        <v>5</v>
      </c>
      <c r="BG142" s="515"/>
      <c r="BH142" s="515"/>
      <c r="BI142" s="515"/>
      <c r="BJ142" s="515"/>
      <c r="BK142" s="515"/>
      <c r="BL142" s="515"/>
      <c r="BM142" s="515"/>
      <c r="BN142" s="515"/>
      <c r="BO142" s="515"/>
      <c r="BP142" s="515"/>
      <c r="BQ142" s="515"/>
      <c r="BR142" s="515"/>
      <c r="BS142" s="515"/>
      <c r="BT142" s="515"/>
      <c r="BU142" s="515"/>
      <c r="BV142" s="515">
        <v>6</v>
      </c>
      <c r="BW142" s="515"/>
      <c r="BX142" s="515"/>
      <c r="BY142" s="515"/>
      <c r="BZ142" s="515"/>
      <c r="CA142" s="515"/>
      <c r="CB142" s="515"/>
      <c r="CC142" s="515"/>
      <c r="CD142" s="515"/>
      <c r="CE142" s="515"/>
      <c r="CF142" s="515"/>
      <c r="CG142" s="515"/>
      <c r="CH142" s="515"/>
      <c r="CI142" s="515"/>
      <c r="CJ142" s="515"/>
      <c r="CK142" s="515"/>
      <c r="CL142" s="626">
        <v>7</v>
      </c>
      <c r="CM142" s="626"/>
      <c r="CN142" s="626"/>
      <c r="CO142" s="626"/>
      <c r="CP142" s="626"/>
      <c r="CQ142" s="626"/>
      <c r="CR142" s="626"/>
      <c r="CS142" s="626"/>
      <c r="CT142" s="626"/>
      <c r="CU142" s="626"/>
      <c r="CV142" s="626"/>
      <c r="CW142" s="626"/>
      <c r="CX142" s="626"/>
      <c r="CY142" s="626"/>
      <c r="CZ142" s="626"/>
      <c r="DA142" s="626"/>
      <c r="DE142" s="249">
        <v>225</v>
      </c>
    </row>
    <row r="143" spans="1:109" s="250" customFormat="1" ht="15" hidden="1" customHeight="1" x14ac:dyDescent="0.25">
      <c r="A143" s="508" t="s">
        <v>655</v>
      </c>
      <c r="B143" s="508"/>
      <c r="C143" s="508"/>
      <c r="D143" s="508"/>
      <c r="E143" s="508"/>
      <c r="F143" s="508"/>
      <c r="G143" s="508"/>
      <c r="H143" s="509" t="s">
        <v>388</v>
      </c>
      <c r="I143" s="509"/>
      <c r="J143" s="509"/>
      <c r="K143" s="509"/>
      <c r="L143" s="509"/>
      <c r="M143" s="509"/>
      <c r="N143" s="509"/>
      <c r="O143" s="509"/>
      <c r="P143" s="509"/>
      <c r="Q143" s="509"/>
      <c r="R143" s="509"/>
      <c r="S143" s="509"/>
      <c r="T143" s="509"/>
      <c r="U143" s="509"/>
      <c r="V143" s="509"/>
      <c r="W143" s="509"/>
      <c r="X143" s="509"/>
      <c r="Y143" s="509"/>
      <c r="Z143" s="509"/>
      <c r="AA143" s="509"/>
      <c r="AB143" s="509"/>
      <c r="AC143" s="509"/>
      <c r="AD143" s="509"/>
      <c r="AE143" s="509"/>
      <c r="AF143" s="509"/>
      <c r="AG143" s="509"/>
      <c r="AH143" s="509"/>
      <c r="AI143" s="509"/>
      <c r="AJ143" s="509"/>
      <c r="AK143" s="509"/>
      <c r="AL143" s="509"/>
      <c r="AM143" s="509"/>
      <c r="AN143" s="509"/>
      <c r="AO143" s="509"/>
      <c r="AP143" s="510"/>
      <c r="AQ143" s="510"/>
      <c r="AR143" s="510"/>
      <c r="AS143" s="510"/>
      <c r="AT143" s="510"/>
      <c r="AU143" s="510"/>
      <c r="AV143" s="510"/>
      <c r="AW143" s="510"/>
      <c r="AX143" s="510"/>
      <c r="AY143" s="510"/>
      <c r="AZ143" s="510"/>
      <c r="BA143" s="510"/>
      <c r="BB143" s="510"/>
      <c r="BC143" s="510"/>
      <c r="BD143" s="510"/>
      <c r="BE143" s="510"/>
      <c r="BF143" s="511"/>
      <c r="BG143" s="511"/>
      <c r="BH143" s="511"/>
      <c r="BI143" s="511"/>
      <c r="BJ143" s="511"/>
      <c r="BK143" s="511"/>
      <c r="BL143" s="511"/>
      <c r="BM143" s="511"/>
      <c r="BN143" s="511"/>
      <c r="BO143" s="511"/>
      <c r="BP143" s="511"/>
      <c r="BQ143" s="511"/>
      <c r="BR143" s="511"/>
      <c r="BS143" s="511"/>
      <c r="BT143" s="511"/>
      <c r="BU143" s="511"/>
      <c r="BV143" s="510"/>
      <c r="BW143" s="510"/>
      <c r="BX143" s="510"/>
      <c r="BY143" s="510"/>
      <c r="BZ143" s="510"/>
      <c r="CA143" s="510"/>
      <c r="CB143" s="510"/>
      <c r="CC143" s="510"/>
      <c r="CD143" s="510"/>
      <c r="CE143" s="510"/>
      <c r="CF143" s="510"/>
      <c r="CG143" s="510"/>
      <c r="CH143" s="510"/>
      <c r="CI143" s="510"/>
      <c r="CJ143" s="510"/>
      <c r="CK143" s="510"/>
      <c r="CL143" s="511">
        <v>0</v>
      </c>
      <c r="CM143" s="511"/>
      <c r="CN143" s="511"/>
      <c r="CO143" s="511"/>
      <c r="CP143" s="511"/>
      <c r="CQ143" s="511"/>
      <c r="CR143" s="511"/>
      <c r="CS143" s="511"/>
      <c r="CT143" s="511"/>
      <c r="CU143" s="511"/>
      <c r="CV143" s="511"/>
      <c r="CW143" s="511"/>
      <c r="CX143" s="511"/>
      <c r="CY143" s="511"/>
      <c r="CZ143" s="511"/>
      <c r="DA143" s="511"/>
      <c r="DE143" s="250">
        <v>226</v>
      </c>
    </row>
    <row r="144" spans="1:109" s="250" customFormat="1" ht="15" hidden="1" customHeight="1" x14ac:dyDescent="0.25">
      <c r="A144" s="508" t="s">
        <v>656</v>
      </c>
      <c r="B144" s="508"/>
      <c r="C144" s="508"/>
      <c r="D144" s="508"/>
      <c r="E144" s="508"/>
      <c r="F144" s="508"/>
      <c r="G144" s="508"/>
      <c r="H144" s="509" t="s">
        <v>584</v>
      </c>
      <c r="I144" s="509"/>
      <c r="J144" s="509"/>
      <c r="K144" s="509"/>
      <c r="L144" s="509"/>
      <c r="M144" s="509"/>
      <c r="N144" s="509"/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  <c r="Z144" s="509"/>
      <c r="AA144" s="509"/>
      <c r="AB144" s="509"/>
      <c r="AC144" s="509"/>
      <c r="AD144" s="509"/>
      <c r="AE144" s="509"/>
      <c r="AF144" s="509"/>
      <c r="AG144" s="509"/>
      <c r="AH144" s="509"/>
      <c r="AI144" s="509"/>
      <c r="AJ144" s="509"/>
      <c r="AK144" s="509"/>
      <c r="AL144" s="509"/>
      <c r="AM144" s="509"/>
      <c r="AN144" s="509"/>
      <c r="AO144" s="509"/>
      <c r="AP144" s="510"/>
      <c r="AQ144" s="510"/>
      <c r="AR144" s="510"/>
      <c r="AS144" s="510"/>
      <c r="AT144" s="510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1"/>
      <c r="BG144" s="511"/>
      <c r="BH144" s="511"/>
      <c r="BI144" s="511"/>
      <c r="BJ144" s="511"/>
      <c r="BK144" s="511"/>
      <c r="BL144" s="511"/>
      <c r="BM144" s="511"/>
      <c r="BN144" s="511"/>
      <c r="BO144" s="511"/>
      <c r="BP144" s="511"/>
      <c r="BQ144" s="511"/>
      <c r="BR144" s="511"/>
      <c r="BS144" s="511"/>
      <c r="BT144" s="511"/>
      <c r="BU144" s="511"/>
      <c r="BV144" s="510"/>
      <c r="BW144" s="510"/>
      <c r="BX144" s="510"/>
      <c r="BY144" s="510"/>
      <c r="BZ144" s="510"/>
      <c r="CA144" s="510"/>
      <c r="CB144" s="510"/>
      <c r="CC144" s="510"/>
      <c r="CD144" s="510"/>
      <c r="CE144" s="510"/>
      <c r="CF144" s="510"/>
      <c r="CG144" s="510"/>
      <c r="CH144" s="510"/>
      <c r="CI144" s="510"/>
      <c r="CJ144" s="510"/>
      <c r="CK144" s="510"/>
      <c r="CL144" s="511">
        <v>0</v>
      </c>
      <c r="CM144" s="511"/>
      <c r="CN144" s="511"/>
      <c r="CO144" s="511"/>
      <c r="CP144" s="511"/>
      <c r="CQ144" s="511"/>
      <c r="CR144" s="511"/>
      <c r="CS144" s="511"/>
      <c r="CT144" s="511"/>
      <c r="CU144" s="511"/>
      <c r="CV144" s="511"/>
      <c r="CW144" s="511"/>
      <c r="CX144" s="511"/>
      <c r="CY144" s="511"/>
      <c r="CZ144" s="511"/>
      <c r="DA144" s="511"/>
    </row>
    <row r="145" spans="1:109" s="250" customFormat="1" ht="15" hidden="1" customHeight="1" x14ac:dyDescent="0.25">
      <c r="A145" s="508"/>
      <c r="B145" s="508"/>
      <c r="C145" s="508"/>
      <c r="D145" s="508"/>
      <c r="E145" s="508"/>
      <c r="F145" s="508"/>
      <c r="G145" s="508"/>
      <c r="H145" s="539" t="s">
        <v>521</v>
      </c>
      <c r="I145" s="512"/>
      <c r="J145" s="512"/>
      <c r="K145" s="512"/>
      <c r="L145" s="512"/>
      <c r="M145" s="512"/>
      <c r="N145" s="512"/>
      <c r="O145" s="512"/>
      <c r="P145" s="512"/>
      <c r="Q145" s="512"/>
      <c r="R145" s="512"/>
      <c r="S145" s="512"/>
      <c r="T145" s="512"/>
      <c r="U145" s="512"/>
      <c r="V145" s="512"/>
      <c r="W145" s="512"/>
      <c r="X145" s="512"/>
      <c r="Y145" s="512"/>
      <c r="Z145" s="512"/>
      <c r="AA145" s="512"/>
      <c r="AB145" s="512"/>
      <c r="AC145" s="512"/>
      <c r="AD145" s="512"/>
      <c r="AE145" s="512"/>
      <c r="AF145" s="512"/>
      <c r="AG145" s="512"/>
      <c r="AH145" s="512"/>
      <c r="AI145" s="512"/>
      <c r="AJ145" s="512"/>
      <c r="AK145" s="512"/>
      <c r="AL145" s="512"/>
      <c r="AM145" s="512"/>
      <c r="AN145" s="512"/>
      <c r="AO145" s="513"/>
      <c r="AP145" s="510" t="s">
        <v>494</v>
      </c>
      <c r="AQ145" s="510"/>
      <c r="AR145" s="510"/>
      <c r="AS145" s="510"/>
      <c r="AT145" s="510"/>
      <c r="AU145" s="510"/>
      <c r="AV145" s="510"/>
      <c r="AW145" s="510"/>
      <c r="AX145" s="510"/>
      <c r="AY145" s="510"/>
      <c r="AZ145" s="510"/>
      <c r="BA145" s="510"/>
      <c r="BB145" s="510"/>
      <c r="BC145" s="510"/>
      <c r="BD145" s="510"/>
      <c r="BE145" s="510"/>
      <c r="BF145" s="510" t="s">
        <v>494</v>
      </c>
      <c r="BG145" s="510"/>
      <c r="BH145" s="510"/>
      <c r="BI145" s="510"/>
      <c r="BJ145" s="510"/>
      <c r="BK145" s="510"/>
      <c r="BL145" s="510"/>
      <c r="BM145" s="510"/>
      <c r="BN145" s="510"/>
      <c r="BO145" s="510"/>
      <c r="BP145" s="510"/>
      <c r="BQ145" s="510"/>
      <c r="BR145" s="510"/>
      <c r="BS145" s="510"/>
      <c r="BT145" s="510"/>
      <c r="BU145" s="510"/>
      <c r="BV145" s="510" t="s">
        <v>494</v>
      </c>
      <c r="BW145" s="510"/>
      <c r="BX145" s="510"/>
      <c r="BY145" s="510"/>
      <c r="BZ145" s="510"/>
      <c r="CA145" s="510"/>
      <c r="CB145" s="510"/>
      <c r="CC145" s="510"/>
      <c r="CD145" s="510"/>
      <c r="CE145" s="510"/>
      <c r="CF145" s="510"/>
      <c r="CG145" s="510"/>
      <c r="CH145" s="510"/>
      <c r="CI145" s="510"/>
      <c r="CJ145" s="510"/>
      <c r="CK145" s="510"/>
      <c r="CL145" s="514">
        <f>CL143+CL144</f>
        <v>0</v>
      </c>
      <c r="CM145" s="514"/>
      <c r="CN145" s="514"/>
      <c r="CO145" s="514"/>
      <c r="CP145" s="514"/>
      <c r="CQ145" s="514"/>
      <c r="CR145" s="514"/>
      <c r="CS145" s="514"/>
      <c r="CT145" s="514"/>
      <c r="CU145" s="514"/>
      <c r="CV145" s="514"/>
      <c r="CW145" s="514"/>
      <c r="CX145" s="514"/>
      <c r="CY145" s="514"/>
      <c r="CZ145" s="514"/>
      <c r="DA145" s="514"/>
    </row>
    <row r="148" spans="1:109" s="248" customFormat="1" ht="42.75" hidden="1" customHeight="1" x14ac:dyDescent="0.2">
      <c r="A148" s="519" t="s">
        <v>657</v>
      </c>
      <c r="B148" s="519"/>
      <c r="C148" s="519"/>
      <c r="D148" s="519"/>
      <c r="E148" s="519"/>
      <c r="F148" s="519"/>
      <c r="G148" s="519"/>
      <c r="H148" s="519"/>
      <c r="I148" s="519"/>
      <c r="J148" s="519"/>
      <c r="K148" s="519"/>
      <c r="L148" s="519"/>
      <c r="M148" s="519"/>
      <c r="N148" s="519"/>
      <c r="O148" s="519"/>
      <c r="P148" s="519"/>
      <c r="Q148" s="519"/>
      <c r="R148" s="519"/>
      <c r="S148" s="519"/>
      <c r="T148" s="519"/>
      <c r="U148" s="519"/>
      <c r="V148" s="519"/>
      <c r="W148" s="519"/>
      <c r="X148" s="519"/>
      <c r="Y148" s="519"/>
      <c r="Z148" s="519"/>
      <c r="AA148" s="519"/>
      <c r="AB148" s="519"/>
      <c r="AC148" s="519"/>
      <c r="AD148" s="519"/>
      <c r="AE148" s="519"/>
      <c r="AF148" s="519"/>
      <c r="AG148" s="519"/>
      <c r="AH148" s="519"/>
      <c r="AI148" s="519"/>
      <c r="AJ148" s="519"/>
      <c r="AK148" s="519"/>
      <c r="AL148" s="519"/>
      <c r="AM148" s="519"/>
      <c r="AN148" s="519"/>
      <c r="AO148" s="519"/>
      <c r="AP148" s="519"/>
      <c r="AQ148" s="519"/>
      <c r="AR148" s="519"/>
      <c r="AS148" s="519"/>
      <c r="AT148" s="519"/>
      <c r="AU148" s="519"/>
      <c r="AV148" s="519"/>
      <c r="AW148" s="519"/>
      <c r="AX148" s="519"/>
      <c r="AY148" s="519"/>
      <c r="AZ148" s="519"/>
      <c r="BA148" s="519"/>
      <c r="BB148" s="519"/>
      <c r="BC148" s="519"/>
      <c r="BD148" s="519"/>
      <c r="BE148" s="519"/>
      <c r="BF148" s="519"/>
      <c r="BG148" s="519"/>
      <c r="BH148" s="519"/>
      <c r="BI148" s="519"/>
      <c r="BJ148" s="519"/>
      <c r="BK148" s="519"/>
      <c r="BL148" s="519"/>
      <c r="BM148" s="519"/>
      <c r="BN148" s="519"/>
      <c r="BO148" s="519"/>
      <c r="BP148" s="519"/>
      <c r="BQ148" s="519"/>
      <c r="BR148" s="519"/>
      <c r="BS148" s="519"/>
      <c r="BT148" s="519"/>
      <c r="BU148" s="519"/>
      <c r="BV148" s="519"/>
      <c r="BW148" s="519"/>
      <c r="BX148" s="519"/>
      <c r="BY148" s="519"/>
      <c r="BZ148" s="519"/>
      <c r="CA148" s="519"/>
      <c r="CB148" s="519"/>
      <c r="CC148" s="519"/>
      <c r="CD148" s="519"/>
      <c r="CE148" s="519"/>
      <c r="CF148" s="519"/>
      <c r="CG148" s="519"/>
      <c r="CH148" s="519"/>
      <c r="CI148" s="519"/>
      <c r="CJ148" s="519"/>
      <c r="CK148" s="519"/>
      <c r="CL148" s="519"/>
      <c r="CM148" s="519"/>
      <c r="CN148" s="519"/>
      <c r="CO148" s="519"/>
      <c r="CP148" s="519"/>
      <c r="CQ148" s="519"/>
      <c r="CR148" s="519"/>
      <c r="CS148" s="519"/>
      <c r="CT148" s="519"/>
      <c r="CU148" s="519"/>
      <c r="CV148" s="519"/>
      <c r="CW148" s="519"/>
      <c r="CX148" s="519"/>
      <c r="CY148" s="519"/>
      <c r="CZ148" s="519"/>
      <c r="DA148" s="519"/>
      <c r="DE148" s="273" t="s">
        <v>658</v>
      </c>
    </row>
    <row r="149" spans="1:109" ht="6" hidden="1" customHeight="1" x14ac:dyDescent="0.25"/>
    <row r="150" spans="1:109" ht="10.5" hidden="1" customHeight="1" x14ac:dyDescent="0.25"/>
    <row r="151" spans="1:109" s="251" customFormat="1" ht="45" hidden="1" customHeight="1" x14ac:dyDescent="0.25">
      <c r="A151" s="520" t="s">
        <v>176</v>
      </c>
      <c r="B151" s="521"/>
      <c r="C151" s="521"/>
      <c r="D151" s="521"/>
      <c r="E151" s="521"/>
      <c r="F151" s="521"/>
      <c r="G151" s="522"/>
      <c r="H151" s="520" t="s">
        <v>225</v>
      </c>
      <c r="I151" s="521"/>
      <c r="J151" s="521"/>
      <c r="K151" s="521"/>
      <c r="L151" s="521"/>
      <c r="M151" s="521"/>
      <c r="N151" s="521"/>
      <c r="O151" s="521"/>
      <c r="P151" s="521"/>
      <c r="Q151" s="521"/>
      <c r="R151" s="521"/>
      <c r="S151" s="521"/>
      <c r="T151" s="521"/>
      <c r="U151" s="521"/>
      <c r="V151" s="521"/>
      <c r="W151" s="521"/>
      <c r="X151" s="521"/>
      <c r="Y151" s="521"/>
      <c r="Z151" s="521"/>
      <c r="AA151" s="521"/>
      <c r="AB151" s="521"/>
      <c r="AC151" s="521"/>
      <c r="AD151" s="521"/>
      <c r="AE151" s="521"/>
      <c r="AF151" s="521"/>
      <c r="AG151" s="521"/>
      <c r="AH151" s="521"/>
      <c r="AI151" s="521"/>
      <c r="AJ151" s="521"/>
      <c r="AK151" s="521"/>
      <c r="AL151" s="521"/>
      <c r="AM151" s="521"/>
      <c r="AN151" s="521"/>
      <c r="AO151" s="521"/>
      <c r="AP151" s="521"/>
      <c r="AQ151" s="521"/>
      <c r="AR151" s="521"/>
      <c r="AS151" s="521"/>
      <c r="AT151" s="521"/>
      <c r="AU151" s="521"/>
      <c r="AV151" s="521"/>
      <c r="AW151" s="521"/>
      <c r="AX151" s="521"/>
      <c r="AY151" s="521"/>
      <c r="AZ151" s="521"/>
      <c r="BA151" s="521"/>
      <c r="BB151" s="521"/>
      <c r="BC151" s="522"/>
      <c r="BD151" s="520" t="s">
        <v>623</v>
      </c>
      <c r="BE151" s="521"/>
      <c r="BF151" s="521"/>
      <c r="BG151" s="521"/>
      <c r="BH151" s="521"/>
      <c r="BI151" s="521"/>
      <c r="BJ151" s="521"/>
      <c r="BK151" s="521"/>
      <c r="BL151" s="521"/>
      <c r="BM151" s="521"/>
      <c r="BN151" s="521"/>
      <c r="BO151" s="521"/>
      <c r="BP151" s="521"/>
      <c r="BQ151" s="521"/>
      <c r="BR151" s="521"/>
      <c r="BS151" s="522"/>
      <c r="BT151" s="520" t="s">
        <v>624</v>
      </c>
      <c r="BU151" s="521"/>
      <c r="BV151" s="521"/>
      <c r="BW151" s="521"/>
      <c r="BX151" s="521"/>
      <c r="BY151" s="521"/>
      <c r="BZ151" s="521"/>
      <c r="CA151" s="521"/>
      <c r="CB151" s="521"/>
      <c r="CC151" s="521"/>
      <c r="CD151" s="521"/>
      <c r="CE151" s="521"/>
      <c r="CF151" s="521"/>
      <c r="CG151" s="521"/>
      <c r="CH151" s="521"/>
      <c r="CI151" s="522"/>
      <c r="CJ151" s="520" t="s">
        <v>625</v>
      </c>
      <c r="CK151" s="521"/>
      <c r="CL151" s="521"/>
      <c r="CM151" s="521"/>
      <c r="CN151" s="521"/>
      <c r="CO151" s="521"/>
      <c r="CP151" s="521"/>
      <c r="CQ151" s="521"/>
      <c r="CR151" s="521"/>
      <c r="CS151" s="521"/>
      <c r="CT151" s="521"/>
      <c r="CU151" s="521"/>
      <c r="CV151" s="521"/>
      <c r="CW151" s="521"/>
      <c r="CX151" s="521"/>
      <c r="CY151" s="521"/>
      <c r="CZ151" s="521"/>
      <c r="DA151" s="522"/>
    </row>
    <row r="152" spans="1:109" s="187" customFormat="1" ht="12.75" hidden="1" x14ac:dyDescent="0.25">
      <c r="A152" s="515">
        <v>1</v>
      </c>
      <c r="B152" s="515"/>
      <c r="C152" s="515"/>
      <c r="D152" s="515"/>
      <c r="E152" s="515"/>
      <c r="F152" s="515"/>
      <c r="G152" s="515"/>
      <c r="H152" s="515">
        <v>2</v>
      </c>
      <c r="I152" s="515"/>
      <c r="J152" s="515"/>
      <c r="K152" s="515"/>
      <c r="L152" s="515"/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  <c r="X152" s="515"/>
      <c r="Y152" s="515"/>
      <c r="Z152" s="515"/>
      <c r="AA152" s="515"/>
      <c r="AB152" s="515"/>
      <c r="AC152" s="515"/>
      <c r="AD152" s="515"/>
      <c r="AE152" s="515"/>
      <c r="AF152" s="515"/>
      <c r="AG152" s="515"/>
      <c r="AH152" s="515"/>
      <c r="AI152" s="515"/>
      <c r="AJ152" s="515"/>
      <c r="AK152" s="515"/>
      <c r="AL152" s="515"/>
      <c r="AM152" s="515"/>
      <c r="AN152" s="515"/>
      <c r="AO152" s="515"/>
      <c r="AP152" s="515"/>
      <c r="AQ152" s="515"/>
      <c r="AR152" s="515"/>
      <c r="AS152" s="515"/>
      <c r="AT152" s="515"/>
      <c r="AU152" s="515"/>
      <c r="AV152" s="515"/>
      <c r="AW152" s="515"/>
      <c r="AX152" s="515"/>
      <c r="AY152" s="515"/>
      <c r="AZ152" s="515"/>
      <c r="BA152" s="515"/>
      <c r="BB152" s="515"/>
      <c r="BC152" s="515"/>
      <c r="BD152" s="515">
        <v>3</v>
      </c>
      <c r="BE152" s="515"/>
      <c r="BF152" s="515"/>
      <c r="BG152" s="515"/>
      <c r="BH152" s="515"/>
      <c r="BI152" s="515"/>
      <c r="BJ152" s="515"/>
      <c r="BK152" s="515"/>
      <c r="BL152" s="515"/>
      <c r="BM152" s="515"/>
      <c r="BN152" s="515"/>
      <c r="BO152" s="515"/>
      <c r="BP152" s="515"/>
      <c r="BQ152" s="515"/>
      <c r="BR152" s="515"/>
      <c r="BS152" s="515"/>
      <c r="BT152" s="515">
        <v>4</v>
      </c>
      <c r="BU152" s="515"/>
      <c r="BV152" s="515"/>
      <c r="BW152" s="515"/>
      <c r="BX152" s="515"/>
      <c r="BY152" s="515"/>
      <c r="BZ152" s="515"/>
      <c r="CA152" s="515"/>
      <c r="CB152" s="515"/>
      <c r="CC152" s="515"/>
      <c r="CD152" s="515"/>
      <c r="CE152" s="515"/>
      <c r="CF152" s="515"/>
      <c r="CG152" s="515"/>
      <c r="CH152" s="515"/>
      <c r="CI152" s="515"/>
      <c r="CJ152" s="515">
        <v>5</v>
      </c>
      <c r="CK152" s="515"/>
      <c r="CL152" s="515"/>
      <c r="CM152" s="515"/>
      <c r="CN152" s="515"/>
      <c r="CO152" s="515"/>
      <c r="CP152" s="515"/>
      <c r="CQ152" s="515"/>
      <c r="CR152" s="515"/>
      <c r="CS152" s="515"/>
      <c r="CT152" s="515"/>
      <c r="CU152" s="515"/>
      <c r="CV152" s="515"/>
      <c r="CW152" s="515"/>
      <c r="CX152" s="515"/>
      <c r="CY152" s="515"/>
      <c r="CZ152" s="515"/>
      <c r="DA152" s="515"/>
    </row>
    <row r="153" spans="1:109" s="250" customFormat="1" ht="15" hidden="1" customHeight="1" x14ac:dyDescent="0.25">
      <c r="A153" s="508" t="s">
        <v>370</v>
      </c>
      <c r="B153" s="508"/>
      <c r="C153" s="508"/>
      <c r="D153" s="508"/>
      <c r="E153" s="508"/>
      <c r="F153" s="508"/>
      <c r="G153" s="508"/>
      <c r="H153" s="523" t="s">
        <v>659</v>
      </c>
      <c r="I153" s="524"/>
      <c r="J153" s="524"/>
      <c r="K153" s="524"/>
      <c r="L153" s="524"/>
      <c r="M153" s="524"/>
      <c r="N153" s="524"/>
      <c r="O153" s="524"/>
      <c r="P153" s="524"/>
      <c r="Q153" s="524"/>
      <c r="R153" s="524"/>
      <c r="S153" s="524"/>
      <c r="T153" s="524"/>
      <c r="U153" s="524"/>
      <c r="V153" s="524"/>
      <c r="W153" s="524"/>
      <c r="X153" s="524"/>
      <c r="Y153" s="524"/>
      <c r="Z153" s="524"/>
      <c r="AA153" s="524"/>
      <c r="AB153" s="524"/>
      <c r="AC153" s="524"/>
      <c r="AD153" s="524"/>
      <c r="AE153" s="524"/>
      <c r="AF153" s="524"/>
      <c r="AG153" s="524"/>
      <c r="AH153" s="524"/>
      <c r="AI153" s="524"/>
      <c r="AJ153" s="524"/>
      <c r="AK153" s="524"/>
      <c r="AL153" s="524"/>
      <c r="AM153" s="524"/>
      <c r="AN153" s="524"/>
      <c r="AO153" s="524"/>
      <c r="AP153" s="524"/>
      <c r="AQ153" s="524"/>
      <c r="AR153" s="524"/>
      <c r="AS153" s="524"/>
      <c r="AT153" s="524"/>
      <c r="AU153" s="524"/>
      <c r="AV153" s="524"/>
      <c r="AW153" s="524"/>
      <c r="AX153" s="524"/>
      <c r="AY153" s="524"/>
      <c r="AZ153" s="524"/>
      <c r="BA153" s="524"/>
      <c r="BB153" s="524"/>
      <c r="BC153" s="525"/>
      <c r="BD153" s="510"/>
      <c r="BE153" s="510"/>
      <c r="BF153" s="510"/>
      <c r="BG153" s="510"/>
      <c r="BH153" s="510"/>
      <c r="BI153" s="510"/>
      <c r="BJ153" s="510"/>
      <c r="BK153" s="510"/>
      <c r="BL153" s="510"/>
      <c r="BM153" s="510"/>
      <c r="BN153" s="510"/>
      <c r="BO153" s="510"/>
      <c r="BP153" s="510"/>
      <c r="BQ153" s="510"/>
      <c r="BR153" s="510"/>
      <c r="BS153" s="510"/>
      <c r="BT153" s="510">
        <v>1</v>
      </c>
      <c r="BU153" s="510"/>
      <c r="BV153" s="510"/>
      <c r="BW153" s="510"/>
      <c r="BX153" s="510"/>
      <c r="BY153" s="510"/>
      <c r="BZ153" s="510"/>
      <c r="CA153" s="510"/>
      <c r="CB153" s="510"/>
      <c r="CC153" s="510"/>
      <c r="CD153" s="510"/>
      <c r="CE153" s="510"/>
      <c r="CF153" s="510"/>
      <c r="CG153" s="510"/>
      <c r="CH153" s="510"/>
      <c r="CI153" s="510"/>
      <c r="CJ153" s="511">
        <f>BD153*BT153</f>
        <v>0</v>
      </c>
      <c r="CK153" s="511"/>
      <c r="CL153" s="511"/>
      <c r="CM153" s="511"/>
      <c r="CN153" s="511"/>
      <c r="CO153" s="511"/>
      <c r="CP153" s="511"/>
      <c r="CQ153" s="511"/>
      <c r="CR153" s="511"/>
      <c r="CS153" s="511"/>
      <c r="CT153" s="511"/>
      <c r="CU153" s="511"/>
      <c r="CV153" s="511"/>
      <c r="CW153" s="511"/>
      <c r="CX153" s="511"/>
      <c r="CY153" s="511"/>
      <c r="CZ153" s="511"/>
      <c r="DA153" s="511"/>
      <c r="DE153" s="250">
        <v>310</v>
      </c>
    </row>
    <row r="154" spans="1:109" s="250" customFormat="1" ht="15" hidden="1" customHeight="1" x14ac:dyDescent="0.25">
      <c r="A154" s="623" t="s">
        <v>377</v>
      </c>
      <c r="B154" s="624"/>
      <c r="C154" s="624"/>
      <c r="D154" s="624"/>
      <c r="E154" s="624"/>
      <c r="F154" s="624"/>
      <c r="G154" s="625"/>
      <c r="H154" s="523" t="s">
        <v>660</v>
      </c>
      <c r="I154" s="524"/>
      <c r="J154" s="524"/>
      <c r="K154" s="524"/>
      <c r="L154" s="524"/>
      <c r="M154" s="524"/>
      <c r="N154" s="524"/>
      <c r="O154" s="524"/>
      <c r="P154" s="524"/>
      <c r="Q154" s="524"/>
      <c r="R154" s="524"/>
      <c r="S154" s="524"/>
      <c r="T154" s="524"/>
      <c r="U154" s="524"/>
      <c r="V154" s="524"/>
      <c r="W154" s="524"/>
      <c r="X154" s="524"/>
      <c r="Y154" s="524"/>
      <c r="Z154" s="524"/>
      <c r="AA154" s="524"/>
      <c r="AB154" s="524"/>
      <c r="AC154" s="524"/>
      <c r="AD154" s="524"/>
      <c r="AE154" s="524"/>
      <c r="AF154" s="524"/>
      <c r="AG154" s="524"/>
      <c r="AH154" s="524"/>
      <c r="AI154" s="524"/>
      <c r="AJ154" s="524"/>
      <c r="AK154" s="524"/>
      <c r="AL154" s="524"/>
      <c r="AM154" s="524"/>
      <c r="AN154" s="524"/>
      <c r="AO154" s="524"/>
      <c r="AP154" s="524"/>
      <c r="AQ154" s="524"/>
      <c r="AR154" s="524"/>
      <c r="AS154" s="524"/>
      <c r="AT154" s="524"/>
      <c r="AU154" s="524"/>
      <c r="AV154" s="524"/>
      <c r="AW154" s="524"/>
      <c r="AX154" s="524"/>
      <c r="AY154" s="524"/>
      <c r="AZ154" s="524"/>
      <c r="BA154" s="524"/>
      <c r="BB154" s="524"/>
      <c r="BC154" s="525"/>
      <c r="BD154" s="510"/>
      <c r="BE154" s="510"/>
      <c r="BF154" s="510"/>
      <c r="BG154" s="510"/>
      <c r="BH154" s="510"/>
      <c r="BI154" s="510"/>
      <c r="BJ154" s="510"/>
      <c r="BK154" s="510"/>
      <c r="BL154" s="510"/>
      <c r="BM154" s="510"/>
      <c r="BN154" s="510"/>
      <c r="BO154" s="510"/>
      <c r="BP154" s="510"/>
      <c r="BQ154" s="510"/>
      <c r="BR154" s="510"/>
      <c r="BS154" s="510"/>
      <c r="BT154" s="571">
        <v>1</v>
      </c>
      <c r="BU154" s="572"/>
      <c r="BV154" s="572"/>
      <c r="BW154" s="572"/>
      <c r="BX154" s="572"/>
      <c r="BY154" s="572"/>
      <c r="BZ154" s="572"/>
      <c r="CA154" s="572"/>
      <c r="CB154" s="572"/>
      <c r="CC154" s="572"/>
      <c r="CD154" s="572"/>
      <c r="CE154" s="572"/>
      <c r="CF154" s="572"/>
      <c r="CG154" s="572"/>
      <c r="CH154" s="572"/>
      <c r="CI154" s="573"/>
      <c r="CJ154" s="511">
        <f>BD154*BT154</f>
        <v>0</v>
      </c>
      <c r="CK154" s="511"/>
      <c r="CL154" s="511"/>
      <c r="CM154" s="511"/>
      <c r="CN154" s="511"/>
      <c r="CO154" s="511"/>
      <c r="CP154" s="511"/>
      <c r="CQ154" s="511"/>
      <c r="CR154" s="511"/>
      <c r="CS154" s="511"/>
      <c r="CT154" s="511"/>
      <c r="CU154" s="511"/>
      <c r="CV154" s="511"/>
      <c r="CW154" s="511"/>
      <c r="CX154" s="511"/>
      <c r="CY154" s="511"/>
      <c r="CZ154" s="511"/>
      <c r="DA154" s="511"/>
      <c r="DE154" s="250">
        <v>340</v>
      </c>
    </row>
    <row r="155" spans="1:109" s="250" customFormat="1" ht="15" hidden="1" customHeight="1" x14ac:dyDescent="0.25">
      <c r="A155" s="508"/>
      <c r="B155" s="508"/>
      <c r="C155" s="508"/>
      <c r="D155" s="508"/>
      <c r="E155" s="508"/>
      <c r="F155" s="508"/>
      <c r="G155" s="508"/>
      <c r="H155" s="512" t="s">
        <v>521</v>
      </c>
      <c r="I155" s="512"/>
      <c r="J155" s="512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  <c r="AA155" s="512"/>
      <c r="AB155" s="512"/>
      <c r="AC155" s="512"/>
      <c r="AD155" s="512"/>
      <c r="AE155" s="512"/>
      <c r="AF155" s="512"/>
      <c r="AG155" s="512"/>
      <c r="AH155" s="512"/>
      <c r="AI155" s="512"/>
      <c r="AJ155" s="512"/>
      <c r="AK155" s="512"/>
      <c r="AL155" s="512"/>
      <c r="AM155" s="512"/>
      <c r="AN155" s="512"/>
      <c r="AO155" s="512"/>
      <c r="AP155" s="512"/>
      <c r="AQ155" s="512"/>
      <c r="AR155" s="512"/>
      <c r="AS155" s="512"/>
      <c r="AT155" s="512"/>
      <c r="AU155" s="512"/>
      <c r="AV155" s="512"/>
      <c r="AW155" s="512"/>
      <c r="AX155" s="512"/>
      <c r="AY155" s="512"/>
      <c r="AZ155" s="512"/>
      <c r="BA155" s="512"/>
      <c r="BB155" s="512"/>
      <c r="BC155" s="513"/>
      <c r="BD155" s="510" t="s">
        <v>494</v>
      </c>
      <c r="BE155" s="510"/>
      <c r="BF155" s="510"/>
      <c r="BG155" s="510"/>
      <c r="BH155" s="510"/>
      <c r="BI155" s="510"/>
      <c r="BJ155" s="510"/>
      <c r="BK155" s="510"/>
      <c r="BL155" s="510"/>
      <c r="BM155" s="510"/>
      <c r="BN155" s="510"/>
      <c r="BO155" s="510"/>
      <c r="BP155" s="510"/>
      <c r="BQ155" s="510"/>
      <c r="BR155" s="510"/>
      <c r="BS155" s="510"/>
      <c r="BT155" s="510" t="s">
        <v>494</v>
      </c>
      <c r="BU155" s="510"/>
      <c r="BV155" s="510"/>
      <c r="BW155" s="510"/>
      <c r="BX155" s="510"/>
      <c r="BY155" s="510"/>
      <c r="BZ155" s="510"/>
      <c r="CA155" s="510"/>
      <c r="CB155" s="510"/>
      <c r="CC155" s="510"/>
      <c r="CD155" s="510"/>
      <c r="CE155" s="510"/>
      <c r="CF155" s="510"/>
      <c r="CG155" s="510"/>
      <c r="CH155" s="510"/>
      <c r="CI155" s="510"/>
      <c r="CJ155" s="514">
        <f>CJ153+CJ154</f>
        <v>0</v>
      </c>
      <c r="CK155" s="514"/>
      <c r="CL155" s="514"/>
      <c r="CM155" s="514"/>
      <c r="CN155" s="514"/>
      <c r="CO155" s="514"/>
      <c r="CP155" s="514"/>
      <c r="CQ155" s="514"/>
      <c r="CR155" s="514"/>
      <c r="CS155" s="514"/>
      <c r="CT155" s="514"/>
      <c r="CU155" s="514"/>
      <c r="CV155" s="514"/>
      <c r="CW155" s="514"/>
      <c r="CX155" s="514"/>
      <c r="CY155" s="514"/>
      <c r="CZ155" s="514"/>
      <c r="DA155" s="514"/>
    </row>
    <row r="157" spans="1:109" s="248" customFormat="1" ht="42.75" customHeight="1" x14ac:dyDescent="0.2">
      <c r="A157" s="519" t="s">
        <v>661</v>
      </c>
      <c r="B157" s="519"/>
      <c r="C157" s="519"/>
      <c r="D157" s="519"/>
      <c r="E157" s="519"/>
      <c r="F157" s="519"/>
      <c r="G157" s="519"/>
      <c r="H157" s="519"/>
      <c r="I157" s="519"/>
      <c r="J157" s="519"/>
      <c r="K157" s="519"/>
      <c r="L157" s="519"/>
      <c r="M157" s="519"/>
      <c r="N157" s="519"/>
      <c r="O157" s="519"/>
      <c r="P157" s="519"/>
      <c r="Q157" s="519"/>
      <c r="R157" s="519"/>
      <c r="S157" s="519"/>
      <c r="T157" s="519"/>
      <c r="U157" s="519"/>
      <c r="V157" s="519"/>
      <c r="W157" s="519"/>
      <c r="X157" s="519"/>
      <c r="Y157" s="519"/>
      <c r="Z157" s="519"/>
      <c r="AA157" s="519"/>
      <c r="AB157" s="519"/>
      <c r="AC157" s="519"/>
      <c r="AD157" s="519"/>
      <c r="AE157" s="519"/>
      <c r="AF157" s="519"/>
      <c r="AG157" s="519"/>
      <c r="AH157" s="519"/>
      <c r="AI157" s="519"/>
      <c r="AJ157" s="519"/>
      <c r="AK157" s="519"/>
      <c r="AL157" s="519"/>
      <c r="AM157" s="519"/>
      <c r="AN157" s="519"/>
      <c r="AO157" s="519"/>
      <c r="AP157" s="519"/>
      <c r="AQ157" s="519"/>
      <c r="AR157" s="519"/>
      <c r="AS157" s="519"/>
      <c r="AT157" s="519"/>
      <c r="AU157" s="519"/>
      <c r="AV157" s="519"/>
      <c r="AW157" s="519"/>
      <c r="AX157" s="519"/>
      <c r="AY157" s="519"/>
      <c r="AZ157" s="519"/>
      <c r="BA157" s="519"/>
      <c r="BB157" s="519"/>
      <c r="BC157" s="519"/>
      <c r="BD157" s="519"/>
      <c r="BE157" s="519"/>
      <c r="BF157" s="519"/>
      <c r="BG157" s="519"/>
      <c r="BH157" s="519"/>
      <c r="BI157" s="519"/>
      <c r="BJ157" s="519"/>
      <c r="BK157" s="519"/>
      <c r="BL157" s="519"/>
      <c r="BM157" s="519"/>
      <c r="BN157" s="519"/>
      <c r="BO157" s="519"/>
      <c r="BP157" s="519"/>
      <c r="BQ157" s="519"/>
      <c r="BR157" s="519"/>
      <c r="BS157" s="519"/>
      <c r="BT157" s="519"/>
      <c r="BU157" s="519"/>
      <c r="BV157" s="519"/>
      <c r="BW157" s="519"/>
      <c r="BX157" s="519"/>
      <c r="BY157" s="519"/>
      <c r="BZ157" s="519"/>
      <c r="CA157" s="519"/>
      <c r="CB157" s="519"/>
      <c r="CC157" s="519"/>
      <c r="CD157" s="519"/>
      <c r="CE157" s="519"/>
      <c r="CF157" s="519"/>
      <c r="CG157" s="519"/>
      <c r="CH157" s="519"/>
      <c r="CI157" s="519"/>
      <c r="CJ157" s="519"/>
      <c r="CK157" s="519"/>
      <c r="CL157" s="519"/>
      <c r="CM157" s="519"/>
      <c r="CN157" s="519"/>
      <c r="CO157" s="519"/>
      <c r="CP157" s="519"/>
      <c r="CQ157" s="519"/>
      <c r="CR157" s="519"/>
      <c r="CS157" s="519"/>
      <c r="CT157" s="519"/>
      <c r="CU157" s="519"/>
      <c r="CV157" s="519"/>
      <c r="CW157" s="519"/>
      <c r="CX157" s="519"/>
      <c r="CY157" s="519"/>
      <c r="CZ157" s="519"/>
      <c r="DA157" s="519"/>
      <c r="DE157" s="274" t="s">
        <v>662</v>
      </c>
    </row>
    <row r="158" spans="1:109" ht="6" customHeight="1" x14ac:dyDescent="0.25"/>
    <row r="159" spans="1:109" ht="10.5" customHeight="1" x14ac:dyDescent="0.25"/>
    <row r="160" spans="1:109" s="251" customFormat="1" ht="45" customHeight="1" x14ac:dyDescent="0.25">
      <c r="A160" s="520" t="s">
        <v>176</v>
      </c>
      <c r="B160" s="521"/>
      <c r="C160" s="521"/>
      <c r="D160" s="521"/>
      <c r="E160" s="521"/>
      <c r="F160" s="521"/>
      <c r="G160" s="522"/>
      <c r="H160" s="520" t="s">
        <v>225</v>
      </c>
      <c r="I160" s="521"/>
      <c r="J160" s="521"/>
      <c r="K160" s="521"/>
      <c r="L160" s="521"/>
      <c r="M160" s="521"/>
      <c r="N160" s="521"/>
      <c r="O160" s="521"/>
      <c r="P160" s="521"/>
      <c r="Q160" s="521"/>
      <c r="R160" s="521"/>
      <c r="S160" s="521"/>
      <c r="T160" s="521"/>
      <c r="U160" s="521"/>
      <c r="V160" s="521"/>
      <c r="W160" s="521"/>
      <c r="X160" s="521"/>
      <c r="Y160" s="521"/>
      <c r="Z160" s="521"/>
      <c r="AA160" s="521"/>
      <c r="AB160" s="521"/>
      <c r="AC160" s="521"/>
      <c r="AD160" s="521"/>
      <c r="AE160" s="521"/>
      <c r="AF160" s="521"/>
      <c r="AG160" s="521"/>
      <c r="AH160" s="521"/>
      <c r="AI160" s="521"/>
      <c r="AJ160" s="521"/>
      <c r="AK160" s="521"/>
      <c r="AL160" s="521"/>
      <c r="AM160" s="521"/>
      <c r="AN160" s="521"/>
      <c r="AO160" s="521"/>
      <c r="AP160" s="521"/>
      <c r="AQ160" s="521"/>
      <c r="AR160" s="521"/>
      <c r="AS160" s="521"/>
      <c r="AT160" s="521"/>
      <c r="AU160" s="521"/>
      <c r="AV160" s="521"/>
      <c r="AW160" s="521"/>
      <c r="AX160" s="521"/>
      <c r="AY160" s="521"/>
      <c r="AZ160" s="521"/>
      <c r="BA160" s="521"/>
      <c r="BB160" s="521"/>
      <c r="BC160" s="522"/>
      <c r="BD160" s="520" t="s">
        <v>623</v>
      </c>
      <c r="BE160" s="521"/>
      <c r="BF160" s="521"/>
      <c r="BG160" s="521"/>
      <c r="BH160" s="521"/>
      <c r="BI160" s="521"/>
      <c r="BJ160" s="521"/>
      <c r="BK160" s="521"/>
      <c r="BL160" s="521"/>
      <c r="BM160" s="521"/>
      <c r="BN160" s="521"/>
      <c r="BO160" s="521"/>
      <c r="BP160" s="521"/>
      <c r="BQ160" s="521"/>
      <c r="BR160" s="521"/>
      <c r="BS160" s="522"/>
      <c r="BT160" s="520" t="s">
        <v>624</v>
      </c>
      <c r="BU160" s="521"/>
      <c r="BV160" s="521"/>
      <c r="BW160" s="521"/>
      <c r="BX160" s="521"/>
      <c r="BY160" s="521"/>
      <c r="BZ160" s="521"/>
      <c r="CA160" s="521"/>
      <c r="CB160" s="521"/>
      <c r="CC160" s="521"/>
      <c r="CD160" s="521"/>
      <c r="CE160" s="521"/>
      <c r="CF160" s="521"/>
      <c r="CG160" s="521"/>
      <c r="CH160" s="521"/>
      <c r="CI160" s="522"/>
      <c r="CJ160" s="520" t="s">
        <v>625</v>
      </c>
      <c r="CK160" s="521"/>
      <c r="CL160" s="521"/>
      <c r="CM160" s="521"/>
      <c r="CN160" s="521"/>
      <c r="CO160" s="521"/>
      <c r="CP160" s="521"/>
      <c r="CQ160" s="521"/>
      <c r="CR160" s="521"/>
      <c r="CS160" s="521"/>
      <c r="CT160" s="521"/>
      <c r="CU160" s="521"/>
      <c r="CV160" s="521"/>
      <c r="CW160" s="521"/>
      <c r="CX160" s="521"/>
      <c r="CY160" s="521"/>
      <c r="CZ160" s="521"/>
      <c r="DA160" s="522"/>
    </row>
    <row r="161" spans="1:109" s="187" customFormat="1" ht="12.75" x14ac:dyDescent="0.25">
      <c r="A161" s="515">
        <v>1</v>
      </c>
      <c r="B161" s="515"/>
      <c r="C161" s="515"/>
      <c r="D161" s="515"/>
      <c r="E161" s="515"/>
      <c r="F161" s="515"/>
      <c r="G161" s="515"/>
      <c r="H161" s="515">
        <v>2</v>
      </c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  <c r="AA161" s="515"/>
      <c r="AB161" s="515"/>
      <c r="AC161" s="515"/>
      <c r="AD161" s="515"/>
      <c r="AE161" s="515"/>
      <c r="AF161" s="515"/>
      <c r="AG161" s="515"/>
      <c r="AH161" s="515"/>
      <c r="AI161" s="515"/>
      <c r="AJ161" s="515"/>
      <c r="AK161" s="515"/>
      <c r="AL161" s="515"/>
      <c r="AM161" s="515"/>
      <c r="AN161" s="515"/>
      <c r="AO161" s="515"/>
      <c r="AP161" s="515"/>
      <c r="AQ161" s="515"/>
      <c r="AR161" s="515"/>
      <c r="AS161" s="515"/>
      <c r="AT161" s="515"/>
      <c r="AU161" s="515"/>
      <c r="AV161" s="515"/>
      <c r="AW161" s="515"/>
      <c r="AX161" s="515"/>
      <c r="AY161" s="515"/>
      <c r="AZ161" s="515"/>
      <c r="BA161" s="515"/>
      <c r="BB161" s="515"/>
      <c r="BC161" s="515"/>
      <c r="BD161" s="515">
        <v>3</v>
      </c>
      <c r="BE161" s="515"/>
      <c r="BF161" s="515"/>
      <c r="BG161" s="515"/>
      <c r="BH161" s="515"/>
      <c r="BI161" s="515"/>
      <c r="BJ161" s="515"/>
      <c r="BK161" s="515"/>
      <c r="BL161" s="515"/>
      <c r="BM161" s="515"/>
      <c r="BN161" s="515"/>
      <c r="BO161" s="515"/>
      <c r="BP161" s="515"/>
      <c r="BQ161" s="515"/>
      <c r="BR161" s="515"/>
      <c r="BS161" s="515"/>
      <c r="BT161" s="515">
        <v>4</v>
      </c>
      <c r="BU161" s="515"/>
      <c r="BV161" s="515"/>
      <c r="BW161" s="515"/>
      <c r="BX161" s="515"/>
      <c r="BY161" s="515"/>
      <c r="BZ161" s="515"/>
      <c r="CA161" s="515"/>
      <c r="CB161" s="515"/>
      <c r="CC161" s="515"/>
      <c r="CD161" s="515"/>
      <c r="CE161" s="515"/>
      <c r="CF161" s="515"/>
      <c r="CG161" s="515"/>
      <c r="CH161" s="515"/>
      <c r="CI161" s="515"/>
      <c r="CJ161" s="515">
        <v>5</v>
      </c>
      <c r="CK161" s="515"/>
      <c r="CL161" s="515"/>
      <c r="CM161" s="515"/>
      <c r="CN161" s="515"/>
      <c r="CO161" s="515"/>
      <c r="CP161" s="515"/>
      <c r="CQ161" s="515"/>
      <c r="CR161" s="515"/>
      <c r="CS161" s="515"/>
      <c r="CT161" s="515"/>
      <c r="CU161" s="515"/>
      <c r="CV161" s="515"/>
      <c r="CW161" s="515"/>
      <c r="CX161" s="515"/>
      <c r="CY161" s="515"/>
      <c r="CZ161" s="515"/>
      <c r="DA161" s="515"/>
    </row>
    <row r="162" spans="1:109" s="250" customFormat="1" ht="12.75" x14ac:dyDescent="0.25">
      <c r="A162" s="508" t="s">
        <v>370</v>
      </c>
      <c r="B162" s="508"/>
      <c r="C162" s="508"/>
      <c r="D162" s="508"/>
      <c r="E162" s="508"/>
      <c r="F162" s="508"/>
      <c r="G162" s="508"/>
      <c r="H162" s="523">
        <v>211</v>
      </c>
      <c r="I162" s="524"/>
      <c r="J162" s="524"/>
      <c r="K162" s="524"/>
      <c r="L162" s="524"/>
      <c r="M162" s="524"/>
      <c r="N162" s="524"/>
      <c r="O162" s="524"/>
      <c r="P162" s="524"/>
      <c r="Q162" s="524"/>
      <c r="R162" s="524"/>
      <c r="S162" s="524"/>
      <c r="T162" s="524"/>
      <c r="U162" s="524"/>
      <c r="V162" s="524"/>
      <c r="W162" s="524"/>
      <c r="X162" s="524"/>
      <c r="Y162" s="524"/>
      <c r="Z162" s="524"/>
      <c r="AA162" s="524"/>
      <c r="AB162" s="524"/>
      <c r="AC162" s="524"/>
      <c r="AD162" s="524"/>
      <c r="AE162" s="524"/>
      <c r="AF162" s="524"/>
      <c r="AG162" s="524"/>
      <c r="AH162" s="524"/>
      <c r="AI162" s="524"/>
      <c r="AJ162" s="524"/>
      <c r="AK162" s="524"/>
      <c r="AL162" s="524"/>
      <c r="AM162" s="524"/>
      <c r="AN162" s="524"/>
      <c r="AO162" s="524"/>
      <c r="AP162" s="524"/>
      <c r="AQ162" s="524"/>
      <c r="AR162" s="524"/>
      <c r="AS162" s="524"/>
      <c r="AT162" s="524"/>
      <c r="AU162" s="524"/>
      <c r="AV162" s="524"/>
      <c r="AW162" s="524"/>
      <c r="AX162" s="524"/>
      <c r="AY162" s="524"/>
      <c r="AZ162" s="524"/>
      <c r="BA162" s="524"/>
      <c r="BB162" s="524"/>
      <c r="BC162" s="525"/>
      <c r="BD162" s="510"/>
      <c r="BE162" s="510"/>
      <c r="BF162" s="510"/>
      <c r="BG162" s="510"/>
      <c r="BH162" s="510"/>
      <c r="BI162" s="510"/>
      <c r="BJ162" s="510"/>
      <c r="BK162" s="510"/>
      <c r="BL162" s="510"/>
      <c r="BM162" s="510"/>
      <c r="BN162" s="510"/>
      <c r="BO162" s="510"/>
      <c r="BP162" s="510"/>
      <c r="BQ162" s="510"/>
      <c r="BR162" s="510"/>
      <c r="BS162" s="510"/>
      <c r="BT162" s="510"/>
      <c r="BU162" s="510"/>
      <c r="BV162" s="510"/>
      <c r="BW162" s="510"/>
      <c r="BX162" s="510"/>
      <c r="BY162" s="510"/>
      <c r="BZ162" s="510"/>
      <c r="CA162" s="510"/>
      <c r="CB162" s="510"/>
      <c r="CC162" s="510"/>
      <c r="CD162" s="510"/>
      <c r="CE162" s="510"/>
      <c r="CF162" s="510"/>
      <c r="CG162" s="510"/>
      <c r="CH162" s="510"/>
      <c r="CI162" s="510"/>
      <c r="CJ162" s="511">
        <f>Расчет!W10</f>
        <v>125300</v>
      </c>
      <c r="CK162" s="511"/>
      <c r="CL162" s="511"/>
      <c r="CM162" s="511"/>
      <c r="CN162" s="511"/>
      <c r="CO162" s="511"/>
      <c r="CP162" s="511"/>
      <c r="CQ162" s="511"/>
      <c r="CR162" s="511"/>
      <c r="CS162" s="511"/>
      <c r="CT162" s="511"/>
      <c r="CU162" s="511"/>
      <c r="CV162" s="511"/>
      <c r="CW162" s="511"/>
      <c r="CX162" s="511"/>
      <c r="CY162" s="511"/>
      <c r="CZ162" s="511"/>
      <c r="DA162" s="511"/>
    </row>
    <row r="163" spans="1:109" s="250" customFormat="1" ht="12.75" x14ac:dyDescent="0.25">
      <c r="A163" s="623" t="s">
        <v>377</v>
      </c>
      <c r="B163" s="624"/>
      <c r="C163" s="624"/>
      <c r="D163" s="624"/>
      <c r="E163" s="624"/>
      <c r="F163" s="624"/>
      <c r="G163" s="625"/>
      <c r="H163" s="523">
        <v>213</v>
      </c>
      <c r="I163" s="524"/>
      <c r="J163" s="524"/>
      <c r="K163" s="524"/>
      <c r="L163" s="524"/>
      <c r="M163" s="524"/>
      <c r="N163" s="524"/>
      <c r="O163" s="524"/>
      <c r="P163" s="524"/>
      <c r="Q163" s="524"/>
      <c r="R163" s="524"/>
      <c r="S163" s="524"/>
      <c r="T163" s="524"/>
      <c r="U163" s="524"/>
      <c r="V163" s="524"/>
      <c r="W163" s="524"/>
      <c r="X163" s="524"/>
      <c r="Y163" s="524"/>
      <c r="Z163" s="524"/>
      <c r="AA163" s="524"/>
      <c r="AB163" s="524"/>
      <c r="AC163" s="524"/>
      <c r="AD163" s="524"/>
      <c r="AE163" s="524"/>
      <c r="AF163" s="524"/>
      <c r="AG163" s="524"/>
      <c r="AH163" s="524"/>
      <c r="AI163" s="524"/>
      <c r="AJ163" s="524"/>
      <c r="AK163" s="524"/>
      <c r="AL163" s="524"/>
      <c r="AM163" s="524"/>
      <c r="AN163" s="524"/>
      <c r="AO163" s="524"/>
      <c r="AP163" s="524"/>
      <c r="AQ163" s="524"/>
      <c r="AR163" s="524"/>
      <c r="AS163" s="524"/>
      <c r="AT163" s="524"/>
      <c r="AU163" s="524"/>
      <c r="AV163" s="524"/>
      <c r="AW163" s="524"/>
      <c r="AX163" s="524"/>
      <c r="AY163" s="524"/>
      <c r="AZ163" s="524"/>
      <c r="BA163" s="524"/>
      <c r="BB163" s="524"/>
      <c r="BC163" s="525"/>
      <c r="BD163" s="510"/>
      <c r="BE163" s="510"/>
      <c r="BF163" s="510"/>
      <c r="BG163" s="510"/>
      <c r="BH163" s="510"/>
      <c r="BI163" s="510"/>
      <c r="BJ163" s="510"/>
      <c r="BK163" s="510"/>
      <c r="BL163" s="510"/>
      <c r="BM163" s="510"/>
      <c r="BN163" s="510"/>
      <c r="BO163" s="510"/>
      <c r="BP163" s="510"/>
      <c r="BQ163" s="510"/>
      <c r="BR163" s="510"/>
      <c r="BS163" s="510"/>
      <c r="BT163" s="571"/>
      <c r="BU163" s="572"/>
      <c r="BV163" s="572"/>
      <c r="BW163" s="572"/>
      <c r="BX163" s="572"/>
      <c r="BY163" s="572"/>
      <c r="BZ163" s="572"/>
      <c r="CA163" s="572"/>
      <c r="CB163" s="572"/>
      <c r="CC163" s="572"/>
      <c r="CD163" s="572"/>
      <c r="CE163" s="572"/>
      <c r="CF163" s="572"/>
      <c r="CG163" s="572"/>
      <c r="CH163" s="572"/>
      <c r="CI163" s="573"/>
      <c r="CJ163" s="511">
        <f>Расчет!X10</f>
        <v>37900</v>
      </c>
      <c r="CK163" s="511"/>
      <c r="CL163" s="511"/>
      <c r="CM163" s="511"/>
      <c r="CN163" s="511"/>
      <c r="CO163" s="511"/>
      <c r="CP163" s="511"/>
      <c r="CQ163" s="511"/>
      <c r="CR163" s="511"/>
      <c r="CS163" s="511"/>
      <c r="CT163" s="511"/>
      <c r="CU163" s="511"/>
      <c r="CV163" s="511"/>
      <c r="CW163" s="511"/>
      <c r="CX163" s="511"/>
      <c r="CY163" s="511"/>
      <c r="CZ163" s="511"/>
      <c r="DA163" s="511"/>
    </row>
    <row r="164" spans="1:109" s="250" customFormat="1" ht="12.75" x14ac:dyDescent="0.25">
      <c r="A164" s="623" t="s">
        <v>394</v>
      </c>
      <c r="B164" s="624"/>
      <c r="C164" s="624"/>
      <c r="D164" s="624"/>
      <c r="E164" s="624"/>
      <c r="F164" s="624"/>
      <c r="G164" s="625"/>
      <c r="H164" s="523">
        <v>226</v>
      </c>
      <c r="I164" s="524"/>
      <c r="J164" s="524"/>
      <c r="K164" s="524"/>
      <c r="L164" s="524"/>
      <c r="M164" s="524"/>
      <c r="N164" s="524"/>
      <c r="O164" s="524"/>
      <c r="P164" s="524"/>
      <c r="Q164" s="524"/>
      <c r="R164" s="524"/>
      <c r="S164" s="524"/>
      <c r="T164" s="524"/>
      <c r="U164" s="524"/>
      <c r="V164" s="524"/>
      <c r="W164" s="524"/>
      <c r="X164" s="524"/>
      <c r="Y164" s="524"/>
      <c r="Z164" s="524"/>
      <c r="AA164" s="524"/>
      <c r="AB164" s="524"/>
      <c r="AC164" s="524"/>
      <c r="AD164" s="524"/>
      <c r="AE164" s="524"/>
      <c r="AF164" s="524"/>
      <c r="AG164" s="524"/>
      <c r="AH164" s="524"/>
      <c r="AI164" s="524"/>
      <c r="AJ164" s="524"/>
      <c r="AK164" s="524"/>
      <c r="AL164" s="524"/>
      <c r="AM164" s="524"/>
      <c r="AN164" s="524"/>
      <c r="AO164" s="524"/>
      <c r="AP164" s="524"/>
      <c r="AQ164" s="524"/>
      <c r="AR164" s="524"/>
      <c r="AS164" s="524"/>
      <c r="AT164" s="524"/>
      <c r="AU164" s="524"/>
      <c r="AV164" s="524"/>
      <c r="AW164" s="524"/>
      <c r="AX164" s="524"/>
      <c r="AY164" s="524"/>
      <c r="AZ164" s="524"/>
      <c r="BA164" s="524"/>
      <c r="BB164" s="524"/>
      <c r="BC164" s="525"/>
      <c r="BD164" s="510"/>
      <c r="BE164" s="510"/>
      <c r="BF164" s="510"/>
      <c r="BG164" s="510"/>
      <c r="BH164" s="510"/>
      <c r="BI164" s="510"/>
      <c r="BJ164" s="510"/>
      <c r="BK164" s="510"/>
      <c r="BL164" s="510"/>
      <c r="BM164" s="510"/>
      <c r="BN164" s="510"/>
      <c r="BO164" s="510"/>
      <c r="BP164" s="510"/>
      <c r="BQ164" s="510"/>
      <c r="BR164" s="510"/>
      <c r="BS164" s="510"/>
      <c r="BT164" s="571"/>
      <c r="BU164" s="572"/>
      <c r="BV164" s="572"/>
      <c r="BW164" s="572"/>
      <c r="BX164" s="572"/>
      <c r="BY164" s="572"/>
      <c r="BZ164" s="572"/>
      <c r="CA164" s="572"/>
      <c r="CB164" s="572"/>
      <c r="CC164" s="572"/>
      <c r="CD164" s="572"/>
      <c r="CE164" s="572"/>
      <c r="CF164" s="572"/>
      <c r="CG164" s="572"/>
      <c r="CH164" s="572"/>
      <c r="CI164" s="573"/>
      <c r="CJ164" s="511">
        <f>Расчет!AG10+Расчет!Y10</f>
        <v>25112</v>
      </c>
      <c r="CK164" s="511"/>
      <c r="CL164" s="511"/>
      <c r="CM164" s="511"/>
      <c r="CN164" s="511"/>
      <c r="CO164" s="511"/>
      <c r="CP164" s="511"/>
      <c r="CQ164" s="511"/>
      <c r="CR164" s="511"/>
      <c r="CS164" s="511"/>
      <c r="CT164" s="511"/>
      <c r="CU164" s="511"/>
      <c r="CV164" s="511"/>
      <c r="CW164" s="511"/>
      <c r="CX164" s="511"/>
      <c r="CY164" s="511"/>
      <c r="CZ164" s="511"/>
      <c r="DA164" s="511"/>
    </row>
    <row r="165" spans="1:109" s="250" customFormat="1" ht="12.75" x14ac:dyDescent="0.25">
      <c r="A165" s="508" t="s">
        <v>397</v>
      </c>
      <c r="B165" s="508"/>
      <c r="C165" s="508"/>
      <c r="D165" s="508"/>
      <c r="E165" s="508"/>
      <c r="F165" s="508"/>
      <c r="G165" s="508"/>
      <c r="H165" s="523">
        <v>349</v>
      </c>
      <c r="I165" s="524"/>
      <c r="J165" s="524"/>
      <c r="K165" s="524"/>
      <c r="L165" s="524"/>
      <c r="M165" s="524"/>
      <c r="N165" s="524"/>
      <c r="O165" s="524"/>
      <c r="P165" s="524"/>
      <c r="Q165" s="524"/>
      <c r="R165" s="524"/>
      <c r="S165" s="524"/>
      <c r="T165" s="524"/>
      <c r="U165" s="524"/>
      <c r="V165" s="524"/>
      <c r="W165" s="524"/>
      <c r="X165" s="524"/>
      <c r="Y165" s="524"/>
      <c r="Z165" s="524"/>
      <c r="AA165" s="524"/>
      <c r="AB165" s="524"/>
      <c r="AC165" s="524"/>
      <c r="AD165" s="524"/>
      <c r="AE165" s="524"/>
      <c r="AF165" s="524"/>
      <c r="AG165" s="524"/>
      <c r="AH165" s="524"/>
      <c r="AI165" s="524"/>
      <c r="AJ165" s="524"/>
      <c r="AK165" s="524"/>
      <c r="AL165" s="524"/>
      <c r="AM165" s="524"/>
      <c r="AN165" s="524"/>
      <c r="AO165" s="524"/>
      <c r="AP165" s="524"/>
      <c r="AQ165" s="524"/>
      <c r="AR165" s="524"/>
      <c r="AS165" s="524"/>
      <c r="AT165" s="524"/>
      <c r="AU165" s="524"/>
      <c r="AV165" s="524"/>
      <c r="AW165" s="524"/>
      <c r="AX165" s="524"/>
      <c r="AY165" s="524"/>
      <c r="AZ165" s="524"/>
      <c r="BA165" s="524"/>
      <c r="BB165" s="524"/>
      <c r="BC165" s="525"/>
      <c r="BD165" s="510"/>
      <c r="BE165" s="510"/>
      <c r="BF165" s="510"/>
      <c r="BG165" s="510"/>
      <c r="BH165" s="510"/>
      <c r="BI165" s="510"/>
      <c r="BJ165" s="510"/>
      <c r="BK165" s="510"/>
      <c r="BL165" s="510"/>
      <c r="BM165" s="510"/>
      <c r="BN165" s="510"/>
      <c r="BO165" s="510"/>
      <c r="BP165" s="510"/>
      <c r="BQ165" s="510"/>
      <c r="BR165" s="510"/>
      <c r="BS165" s="510"/>
      <c r="BT165" s="510"/>
      <c r="BU165" s="510"/>
      <c r="BV165" s="510"/>
      <c r="BW165" s="510"/>
      <c r="BX165" s="510"/>
      <c r="BY165" s="510"/>
      <c r="BZ165" s="510"/>
      <c r="CA165" s="510"/>
      <c r="CB165" s="510"/>
      <c r="CC165" s="510"/>
      <c r="CD165" s="510"/>
      <c r="CE165" s="510"/>
      <c r="CF165" s="510"/>
      <c r="CG165" s="510"/>
      <c r="CH165" s="510"/>
      <c r="CI165" s="510"/>
      <c r="CJ165" s="511">
        <f>Расчет!AD10</f>
        <v>6200</v>
      </c>
      <c r="CK165" s="511"/>
      <c r="CL165" s="511"/>
      <c r="CM165" s="511"/>
      <c r="CN165" s="511"/>
      <c r="CO165" s="511"/>
      <c r="CP165" s="511"/>
      <c r="CQ165" s="511"/>
      <c r="CR165" s="511"/>
      <c r="CS165" s="511"/>
      <c r="CT165" s="511"/>
      <c r="CU165" s="511"/>
      <c r="CV165" s="511"/>
      <c r="CW165" s="511"/>
      <c r="CX165" s="511"/>
      <c r="CY165" s="511"/>
      <c r="CZ165" s="511"/>
      <c r="DA165" s="511"/>
    </row>
    <row r="166" spans="1:109" s="250" customFormat="1" ht="12.75" x14ac:dyDescent="0.25">
      <c r="A166" s="623" t="s">
        <v>409</v>
      </c>
      <c r="B166" s="624"/>
      <c r="C166" s="624"/>
      <c r="D166" s="624"/>
      <c r="E166" s="624"/>
      <c r="F166" s="624"/>
      <c r="G166" s="625"/>
      <c r="H166" s="523">
        <v>342</v>
      </c>
      <c r="I166" s="524"/>
      <c r="J166" s="524"/>
      <c r="K166" s="524"/>
      <c r="L166" s="524"/>
      <c r="M166" s="524"/>
      <c r="N166" s="524"/>
      <c r="O166" s="524"/>
      <c r="P166" s="524"/>
      <c r="Q166" s="524"/>
      <c r="R166" s="524"/>
      <c r="S166" s="524"/>
      <c r="T166" s="524"/>
      <c r="U166" s="524"/>
      <c r="V166" s="524"/>
      <c r="W166" s="524"/>
      <c r="X166" s="524"/>
      <c r="Y166" s="524"/>
      <c r="Z166" s="524"/>
      <c r="AA166" s="524"/>
      <c r="AB166" s="524"/>
      <c r="AC166" s="524"/>
      <c r="AD166" s="524"/>
      <c r="AE166" s="524"/>
      <c r="AF166" s="524"/>
      <c r="AG166" s="524"/>
      <c r="AH166" s="524"/>
      <c r="AI166" s="524"/>
      <c r="AJ166" s="524"/>
      <c r="AK166" s="524"/>
      <c r="AL166" s="524"/>
      <c r="AM166" s="524"/>
      <c r="AN166" s="524"/>
      <c r="AO166" s="524"/>
      <c r="AP166" s="524"/>
      <c r="AQ166" s="524"/>
      <c r="AR166" s="524"/>
      <c r="AS166" s="524"/>
      <c r="AT166" s="524"/>
      <c r="AU166" s="524"/>
      <c r="AV166" s="524"/>
      <c r="AW166" s="524"/>
      <c r="AX166" s="524"/>
      <c r="AY166" s="524"/>
      <c r="AZ166" s="524"/>
      <c r="BA166" s="524"/>
      <c r="BB166" s="524"/>
      <c r="BC166" s="525"/>
      <c r="BD166" s="510"/>
      <c r="BE166" s="510"/>
      <c r="BF166" s="510"/>
      <c r="BG166" s="510"/>
      <c r="BH166" s="510"/>
      <c r="BI166" s="510"/>
      <c r="BJ166" s="510"/>
      <c r="BK166" s="510"/>
      <c r="BL166" s="510"/>
      <c r="BM166" s="510"/>
      <c r="BN166" s="510"/>
      <c r="BO166" s="510"/>
      <c r="BP166" s="510"/>
      <c r="BQ166" s="510"/>
      <c r="BR166" s="510"/>
      <c r="BS166" s="510"/>
      <c r="BT166" s="571"/>
      <c r="BU166" s="572"/>
      <c r="BV166" s="572"/>
      <c r="BW166" s="572"/>
      <c r="BX166" s="572"/>
      <c r="BY166" s="572"/>
      <c r="BZ166" s="572"/>
      <c r="CA166" s="572"/>
      <c r="CB166" s="572"/>
      <c r="CC166" s="572"/>
      <c r="CD166" s="572"/>
      <c r="CE166" s="572"/>
      <c r="CF166" s="572"/>
      <c r="CG166" s="572"/>
      <c r="CH166" s="572"/>
      <c r="CI166" s="573"/>
      <c r="CJ166" s="511">
        <f>Расчет!AB10</f>
        <v>116088</v>
      </c>
      <c r="CK166" s="511"/>
      <c r="CL166" s="511"/>
      <c r="CM166" s="511"/>
      <c r="CN166" s="511"/>
      <c r="CO166" s="511"/>
      <c r="CP166" s="511"/>
      <c r="CQ166" s="511"/>
      <c r="CR166" s="511"/>
      <c r="CS166" s="511"/>
      <c r="CT166" s="511"/>
      <c r="CU166" s="511"/>
      <c r="CV166" s="511"/>
      <c r="CW166" s="511"/>
      <c r="CX166" s="511"/>
      <c r="CY166" s="511"/>
      <c r="CZ166" s="511"/>
      <c r="DA166" s="511"/>
    </row>
    <row r="167" spans="1:109" s="250" customFormat="1" ht="15" customHeight="1" x14ac:dyDescent="0.25">
      <c r="A167" s="508"/>
      <c r="B167" s="508"/>
      <c r="C167" s="508"/>
      <c r="D167" s="508"/>
      <c r="E167" s="508"/>
      <c r="F167" s="508"/>
      <c r="G167" s="508"/>
      <c r="H167" s="512" t="s">
        <v>521</v>
      </c>
      <c r="I167" s="512"/>
      <c r="J167" s="512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  <c r="AA167" s="512"/>
      <c r="AB167" s="512"/>
      <c r="AC167" s="512"/>
      <c r="AD167" s="512"/>
      <c r="AE167" s="512"/>
      <c r="AF167" s="512"/>
      <c r="AG167" s="512"/>
      <c r="AH167" s="512"/>
      <c r="AI167" s="512"/>
      <c r="AJ167" s="512"/>
      <c r="AK167" s="512"/>
      <c r="AL167" s="512"/>
      <c r="AM167" s="512"/>
      <c r="AN167" s="512"/>
      <c r="AO167" s="512"/>
      <c r="AP167" s="512"/>
      <c r="AQ167" s="512"/>
      <c r="AR167" s="512"/>
      <c r="AS167" s="512"/>
      <c r="AT167" s="512"/>
      <c r="AU167" s="512"/>
      <c r="AV167" s="512"/>
      <c r="AW167" s="512"/>
      <c r="AX167" s="512"/>
      <c r="AY167" s="512"/>
      <c r="AZ167" s="512"/>
      <c r="BA167" s="512"/>
      <c r="BB167" s="512"/>
      <c r="BC167" s="513"/>
      <c r="BD167" s="510" t="s">
        <v>494</v>
      </c>
      <c r="BE167" s="510"/>
      <c r="BF167" s="510"/>
      <c r="BG167" s="510"/>
      <c r="BH167" s="510"/>
      <c r="BI167" s="510"/>
      <c r="BJ167" s="510"/>
      <c r="BK167" s="510"/>
      <c r="BL167" s="510"/>
      <c r="BM167" s="510"/>
      <c r="BN167" s="510"/>
      <c r="BO167" s="510"/>
      <c r="BP167" s="510"/>
      <c r="BQ167" s="510"/>
      <c r="BR167" s="510"/>
      <c r="BS167" s="510"/>
      <c r="BT167" s="510" t="s">
        <v>494</v>
      </c>
      <c r="BU167" s="510"/>
      <c r="BV167" s="510"/>
      <c r="BW167" s="510"/>
      <c r="BX167" s="510"/>
      <c r="BY167" s="510"/>
      <c r="BZ167" s="510"/>
      <c r="CA167" s="510"/>
      <c r="CB167" s="510"/>
      <c r="CC167" s="510"/>
      <c r="CD167" s="510"/>
      <c r="CE167" s="510"/>
      <c r="CF167" s="510"/>
      <c r="CG167" s="510"/>
      <c r="CH167" s="510"/>
      <c r="CI167" s="510"/>
      <c r="CJ167" s="514">
        <f>CJ165+CJ166+CJ162+CJ163+CJ164</f>
        <v>310600</v>
      </c>
      <c r="CK167" s="514"/>
      <c r="CL167" s="514"/>
      <c r="CM167" s="514"/>
      <c r="CN167" s="514"/>
      <c r="CO167" s="514"/>
      <c r="CP167" s="514"/>
      <c r="CQ167" s="514"/>
      <c r="CR167" s="514"/>
      <c r="CS167" s="514"/>
      <c r="CT167" s="514"/>
      <c r="CU167" s="514"/>
      <c r="CV167" s="514"/>
      <c r="CW167" s="514"/>
      <c r="CX167" s="514"/>
      <c r="CY167" s="514"/>
      <c r="CZ167" s="514"/>
      <c r="DA167" s="514"/>
    </row>
    <row r="169" spans="1:109" ht="12" customHeight="1" x14ac:dyDescent="0.25">
      <c r="DE169" s="260"/>
    </row>
    <row r="173" spans="1:109" ht="12" customHeight="1" x14ac:dyDescent="0.25">
      <c r="DE173" s="260">
        <f>CJ167+CJ155+CL145+CL137+CJ126+CJ117+CJ109+CJ97+CM87+BW75+CM69+BW57+CJ42+CM29+BW17+CJ9</f>
        <v>8512100</v>
      </c>
    </row>
    <row r="175" spans="1:109" ht="12" customHeight="1" x14ac:dyDescent="0.25">
      <c r="DE175" s="260">
        <f>DE173+'[1]Расчеты ГЗ'!DE120</f>
        <v>8512100</v>
      </c>
    </row>
  </sheetData>
  <mergeCells count="527">
    <mergeCell ref="A3:DA3"/>
    <mergeCell ref="A5:F5"/>
    <mergeCell ref="G5:AD5"/>
    <mergeCell ref="AE5:AY5"/>
    <mergeCell ref="AZ5:BQ5"/>
    <mergeCell ref="BR5:CI5"/>
    <mergeCell ref="CJ5:DA5"/>
    <mergeCell ref="A7:F7"/>
    <mergeCell ref="G7:AD7"/>
    <mergeCell ref="AE7:AY7"/>
    <mergeCell ref="AZ7:BQ7"/>
    <mergeCell ref="BR7:CI7"/>
    <mergeCell ref="CJ7:DA7"/>
    <mergeCell ref="A6:F6"/>
    <mergeCell ref="G6:AD6"/>
    <mergeCell ref="AE6:AY6"/>
    <mergeCell ref="AZ6:BQ6"/>
    <mergeCell ref="BR6:CI6"/>
    <mergeCell ref="CJ6:DA6"/>
    <mergeCell ref="A9:F9"/>
    <mergeCell ref="G9:AD9"/>
    <mergeCell ref="AE9:AY9"/>
    <mergeCell ref="AZ9:BQ9"/>
    <mergeCell ref="BR9:CI9"/>
    <mergeCell ref="CJ9:DA9"/>
    <mergeCell ref="A8:F8"/>
    <mergeCell ref="G8:AD8"/>
    <mergeCell ref="AE8:AY8"/>
    <mergeCell ref="AZ8:BQ8"/>
    <mergeCell ref="BR8:CI8"/>
    <mergeCell ref="CJ8:DA8"/>
    <mergeCell ref="A12:DA12"/>
    <mergeCell ref="A14:F14"/>
    <mergeCell ref="G14:BV14"/>
    <mergeCell ref="BW14:CL14"/>
    <mergeCell ref="CM14:DA14"/>
    <mergeCell ref="A15:F15"/>
    <mergeCell ref="G15:BV15"/>
    <mergeCell ref="BW15:CL15"/>
    <mergeCell ref="CM15:DA15"/>
    <mergeCell ref="A19:F19"/>
    <mergeCell ref="H19:BV19"/>
    <mergeCell ref="BW19:CL19"/>
    <mergeCell ref="CM19:DA19"/>
    <mergeCell ref="A20:F20"/>
    <mergeCell ref="H20:BV20"/>
    <mergeCell ref="BW20:CL20"/>
    <mergeCell ref="CM20:DA20"/>
    <mergeCell ref="A16:F16"/>
    <mergeCell ref="H16:BV16"/>
    <mergeCell ref="BW16:CL16"/>
    <mergeCell ref="CM16:DA16"/>
    <mergeCell ref="A17:F18"/>
    <mergeCell ref="H17:BV17"/>
    <mergeCell ref="BW17:CL18"/>
    <mergeCell ref="CM17:DA18"/>
    <mergeCell ref="H18:BV18"/>
    <mergeCell ref="A21:F21"/>
    <mergeCell ref="H21:BV21"/>
    <mergeCell ref="BW21:CL21"/>
    <mergeCell ref="CM21:DA21"/>
    <mergeCell ref="A22:F23"/>
    <mergeCell ref="H22:BV22"/>
    <mergeCell ref="BW22:CL23"/>
    <mergeCell ref="CM22:DA23"/>
    <mergeCell ref="H23:BV23"/>
    <mergeCell ref="A26:F26"/>
    <mergeCell ref="H26:BV26"/>
    <mergeCell ref="BW26:CL26"/>
    <mergeCell ref="CM26:DA26"/>
    <mergeCell ref="A27:F27"/>
    <mergeCell ref="H27:BV27"/>
    <mergeCell ref="BW27:CL27"/>
    <mergeCell ref="CM27:DA27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31:DA31"/>
    <mergeCell ref="A33:G33"/>
    <mergeCell ref="H33:BC33"/>
    <mergeCell ref="BD33:BS33"/>
    <mergeCell ref="BT33:CI33"/>
    <mergeCell ref="CJ33:DA33"/>
    <mergeCell ref="A28:F28"/>
    <mergeCell ref="H28:BV28"/>
    <mergeCell ref="BW28:CL28"/>
    <mergeCell ref="CM28:DA28"/>
    <mergeCell ref="A29:F29"/>
    <mergeCell ref="G29:BV29"/>
    <mergeCell ref="BW29:CL29"/>
    <mergeCell ref="CM29:DA29"/>
    <mergeCell ref="A34:G34"/>
    <mergeCell ref="H34:BC34"/>
    <mergeCell ref="BD34:BS34"/>
    <mergeCell ref="BT34:CI34"/>
    <mergeCell ref="CJ34:DA34"/>
    <mergeCell ref="A35:G35"/>
    <mergeCell ref="H35:BC35"/>
    <mergeCell ref="BD35:BS35"/>
    <mergeCell ref="BT35:CI35"/>
    <mergeCell ref="CJ35:DA35"/>
    <mergeCell ref="A36:G36"/>
    <mergeCell ref="H36:BC36"/>
    <mergeCell ref="BD36:BS36"/>
    <mergeCell ref="BT36:CI36"/>
    <mergeCell ref="CJ36:DA36"/>
    <mergeCell ref="A37:G37"/>
    <mergeCell ref="H37:BC37"/>
    <mergeCell ref="BD37:BS37"/>
    <mergeCell ref="BT37:CI37"/>
    <mergeCell ref="CJ37:DA37"/>
    <mergeCell ref="A38:G38"/>
    <mergeCell ref="H38:BC38"/>
    <mergeCell ref="BD38:BS38"/>
    <mergeCell ref="BT38:CI38"/>
    <mergeCell ref="CJ38:DA38"/>
    <mergeCell ref="A39:G39"/>
    <mergeCell ref="H39:BC39"/>
    <mergeCell ref="BD39:BS39"/>
    <mergeCell ref="BT39:CI39"/>
    <mergeCell ref="CJ39:DA39"/>
    <mergeCell ref="A42:G42"/>
    <mergeCell ref="H42:BC42"/>
    <mergeCell ref="BD42:BS42"/>
    <mergeCell ref="BT42:CI42"/>
    <mergeCell ref="CJ42:DA42"/>
    <mergeCell ref="A44:DA44"/>
    <mergeCell ref="A40:G40"/>
    <mergeCell ref="H40:BC40"/>
    <mergeCell ref="BD40:BS40"/>
    <mergeCell ref="BT40:CI40"/>
    <mergeCell ref="CJ40:DA40"/>
    <mergeCell ref="A41:G41"/>
    <mergeCell ref="H41:BC41"/>
    <mergeCell ref="BD41:BS41"/>
    <mergeCell ref="BT41:CI41"/>
    <mergeCell ref="CJ41:DA41"/>
    <mergeCell ref="A46:G46"/>
    <mergeCell ref="H46:BC46"/>
    <mergeCell ref="BD46:BS46"/>
    <mergeCell ref="BT46:CI46"/>
    <mergeCell ref="CJ46:DA46"/>
    <mergeCell ref="A47:G47"/>
    <mergeCell ref="H47:BC47"/>
    <mergeCell ref="BD47:BS47"/>
    <mergeCell ref="BT47:CI47"/>
    <mergeCell ref="CJ47:DA47"/>
    <mergeCell ref="A48:G48"/>
    <mergeCell ref="H48:BC48"/>
    <mergeCell ref="BD48:BS48"/>
    <mergeCell ref="BT48:CI48"/>
    <mergeCell ref="CJ48:DA48"/>
    <mergeCell ref="A49:G49"/>
    <mergeCell ref="H49:BC49"/>
    <mergeCell ref="BD49:BS49"/>
    <mergeCell ref="BT49:CI49"/>
    <mergeCell ref="CJ49:DA49"/>
    <mergeCell ref="A54:F54"/>
    <mergeCell ref="G54:BV54"/>
    <mergeCell ref="BW54:CL54"/>
    <mergeCell ref="CM54:DA54"/>
    <mergeCell ref="A55:F55"/>
    <mergeCell ref="G55:BV55"/>
    <mergeCell ref="BW55:CL55"/>
    <mergeCell ref="CM55:DA55"/>
    <mergeCell ref="A50:G50"/>
    <mergeCell ref="H50:BC50"/>
    <mergeCell ref="BD50:BS50"/>
    <mergeCell ref="BT50:CI50"/>
    <mergeCell ref="CJ50:DA50"/>
    <mergeCell ref="A52:DA52"/>
    <mergeCell ref="A59:F59"/>
    <mergeCell ref="H59:BV59"/>
    <mergeCell ref="BW59:CL59"/>
    <mergeCell ref="CM59:DA59"/>
    <mergeCell ref="A60:F60"/>
    <mergeCell ref="H60:BV60"/>
    <mergeCell ref="BW60:CL60"/>
    <mergeCell ref="CM60:DA60"/>
    <mergeCell ref="A56:F56"/>
    <mergeCell ref="H56:BV56"/>
    <mergeCell ref="BW56:CL56"/>
    <mergeCell ref="CM56:DA56"/>
    <mergeCell ref="A57:F58"/>
    <mergeCell ref="H57:BV57"/>
    <mergeCell ref="BW57:CL58"/>
    <mergeCell ref="CM57:DA58"/>
    <mergeCell ref="H58:BV58"/>
    <mergeCell ref="A64:F64"/>
    <mergeCell ref="H64:BV64"/>
    <mergeCell ref="BW64:CL64"/>
    <mergeCell ref="CM64:DA64"/>
    <mergeCell ref="A65:F65"/>
    <mergeCell ref="H65:BV65"/>
    <mergeCell ref="BW65:CL65"/>
    <mergeCell ref="CM65:DA65"/>
    <mergeCell ref="A61:F61"/>
    <mergeCell ref="H61:BV61"/>
    <mergeCell ref="BW61:CL61"/>
    <mergeCell ref="CM61:DA61"/>
    <mergeCell ref="A62:F63"/>
    <mergeCell ref="H62:BV62"/>
    <mergeCell ref="BW62:CL63"/>
    <mergeCell ref="CM62:DA63"/>
    <mergeCell ref="H63:BV63"/>
    <mergeCell ref="A68:F68"/>
    <mergeCell ref="H68:BV68"/>
    <mergeCell ref="BW68:CL68"/>
    <mergeCell ref="CM68:DA68"/>
    <mergeCell ref="A69:F69"/>
    <mergeCell ref="G69:BV69"/>
    <mergeCell ref="BW69:CL69"/>
    <mergeCell ref="CM69:DA69"/>
    <mergeCell ref="A66:F66"/>
    <mergeCell ref="H66:BV66"/>
    <mergeCell ref="BW66:CL66"/>
    <mergeCell ref="CM66:DA66"/>
    <mergeCell ref="A67:F67"/>
    <mergeCell ref="H67:BV67"/>
    <mergeCell ref="BW67:CL67"/>
    <mergeCell ref="CM67:DA67"/>
    <mergeCell ref="A70:DA70"/>
    <mergeCell ref="A72:F72"/>
    <mergeCell ref="G72:BV72"/>
    <mergeCell ref="BW72:CL72"/>
    <mergeCell ref="CM72:DA72"/>
    <mergeCell ref="A73:F73"/>
    <mergeCell ref="G73:BV73"/>
    <mergeCell ref="BW73:CL73"/>
    <mergeCell ref="CM73:DA73"/>
    <mergeCell ref="A77:F77"/>
    <mergeCell ref="H77:BV77"/>
    <mergeCell ref="BW77:CL77"/>
    <mergeCell ref="CM77:DA77"/>
    <mergeCell ref="A78:F78"/>
    <mergeCell ref="H78:BV78"/>
    <mergeCell ref="BW78:CL78"/>
    <mergeCell ref="CM78:DA78"/>
    <mergeCell ref="A74:F74"/>
    <mergeCell ref="H74:BV74"/>
    <mergeCell ref="BW74:CL74"/>
    <mergeCell ref="CM74:DA74"/>
    <mergeCell ref="A75:F76"/>
    <mergeCell ref="H75:BV75"/>
    <mergeCell ref="BW75:CL76"/>
    <mergeCell ref="CM75:DA76"/>
    <mergeCell ref="H76:BV76"/>
    <mergeCell ref="A79:F79"/>
    <mergeCell ref="H79:BV79"/>
    <mergeCell ref="BW79:CL79"/>
    <mergeCell ref="CM79:DA79"/>
    <mergeCell ref="A80:F81"/>
    <mergeCell ref="H80:BV80"/>
    <mergeCell ref="BW80:CL81"/>
    <mergeCell ref="CM80:DA81"/>
    <mergeCell ref="H81:BV81"/>
    <mergeCell ref="A84:F84"/>
    <mergeCell ref="H84:BV84"/>
    <mergeCell ref="BW84:CL84"/>
    <mergeCell ref="CM84:DA84"/>
    <mergeCell ref="A85:F85"/>
    <mergeCell ref="H85:BV85"/>
    <mergeCell ref="BW85:CL85"/>
    <mergeCell ref="CM85:DA85"/>
    <mergeCell ref="A82:F82"/>
    <mergeCell ref="H82:BV82"/>
    <mergeCell ref="BW82:CL82"/>
    <mergeCell ref="CM82:DA82"/>
    <mergeCell ref="A83:F83"/>
    <mergeCell ref="H83:BV83"/>
    <mergeCell ref="BW83:CL83"/>
    <mergeCell ref="CM83:DA83"/>
    <mergeCell ref="A88:DA88"/>
    <mergeCell ref="A90:DA90"/>
    <mergeCell ref="A92:DB92"/>
    <mergeCell ref="A93:G93"/>
    <mergeCell ref="H93:BC93"/>
    <mergeCell ref="BD93:BS93"/>
    <mergeCell ref="BT93:CI93"/>
    <mergeCell ref="CJ93:DA93"/>
    <mergeCell ref="A86:F86"/>
    <mergeCell ref="H86:BV86"/>
    <mergeCell ref="BW86:CL86"/>
    <mergeCell ref="CM86:DA86"/>
    <mergeCell ref="A87:F87"/>
    <mergeCell ref="G87:BV87"/>
    <mergeCell ref="BW87:CL87"/>
    <mergeCell ref="CM87:DA87"/>
    <mergeCell ref="A94:G94"/>
    <mergeCell ref="H94:BC94"/>
    <mergeCell ref="BD94:BS94"/>
    <mergeCell ref="BT94:CI94"/>
    <mergeCell ref="CJ94:DA94"/>
    <mergeCell ref="A95:G95"/>
    <mergeCell ref="H95:BC95"/>
    <mergeCell ref="BD95:BS95"/>
    <mergeCell ref="BT95:CI95"/>
    <mergeCell ref="CJ95:DA95"/>
    <mergeCell ref="A99:DA99"/>
    <mergeCell ref="A101:DA101"/>
    <mergeCell ref="A104:G104"/>
    <mergeCell ref="H104:BC104"/>
    <mergeCell ref="BD104:BS104"/>
    <mergeCell ref="BT104:CI104"/>
    <mergeCell ref="CJ104:DA104"/>
    <mergeCell ref="A96:G96"/>
    <mergeCell ref="H96:BC96"/>
    <mergeCell ref="BD96:BS96"/>
    <mergeCell ref="BT96:CI96"/>
    <mergeCell ref="CJ96:DA96"/>
    <mergeCell ref="A97:G97"/>
    <mergeCell ref="H97:BC97"/>
    <mergeCell ref="BD97:BS97"/>
    <mergeCell ref="BT97:CI97"/>
    <mergeCell ref="CJ97:DA97"/>
    <mergeCell ref="A105:G105"/>
    <mergeCell ref="H105:BC105"/>
    <mergeCell ref="BD105:BS105"/>
    <mergeCell ref="BT105:CI105"/>
    <mergeCell ref="CJ105:DA105"/>
    <mergeCell ref="A106:G106"/>
    <mergeCell ref="H106:BC106"/>
    <mergeCell ref="BD106:BS106"/>
    <mergeCell ref="BT106:CI106"/>
    <mergeCell ref="CJ106:DA106"/>
    <mergeCell ref="A109:G109"/>
    <mergeCell ref="H109:BC109"/>
    <mergeCell ref="BD109:BS109"/>
    <mergeCell ref="BT109:CI109"/>
    <mergeCell ref="CJ109:DA109"/>
    <mergeCell ref="A111:DA111"/>
    <mergeCell ref="A107:G107"/>
    <mergeCell ref="H107:BC107"/>
    <mergeCell ref="BD107:BS107"/>
    <mergeCell ref="BT107:CI107"/>
    <mergeCell ref="CJ107:DA107"/>
    <mergeCell ref="A108:G108"/>
    <mergeCell ref="H108:BC108"/>
    <mergeCell ref="BD108:BS108"/>
    <mergeCell ref="BT108:CI108"/>
    <mergeCell ref="CJ108:DA108"/>
    <mergeCell ref="A114:G114"/>
    <mergeCell ref="H114:BC114"/>
    <mergeCell ref="BD114:BS114"/>
    <mergeCell ref="BT114:CI114"/>
    <mergeCell ref="CJ114:DA114"/>
    <mergeCell ref="A115:G115"/>
    <mergeCell ref="H115:BC115"/>
    <mergeCell ref="BD115:BS115"/>
    <mergeCell ref="BT115:CI115"/>
    <mergeCell ref="CJ115:DA115"/>
    <mergeCell ref="A119:DA119"/>
    <mergeCell ref="A122:G122"/>
    <mergeCell ref="H122:BC122"/>
    <mergeCell ref="BD122:BS122"/>
    <mergeCell ref="BT122:CI122"/>
    <mergeCell ref="CJ122:DA122"/>
    <mergeCell ref="A116:G116"/>
    <mergeCell ref="H116:BC116"/>
    <mergeCell ref="BD116:BS116"/>
    <mergeCell ref="BT116:CI116"/>
    <mergeCell ref="CJ116:DA116"/>
    <mergeCell ref="A117:G117"/>
    <mergeCell ref="H117:BC117"/>
    <mergeCell ref="BD117:BS117"/>
    <mergeCell ref="BT117:CI117"/>
    <mergeCell ref="CJ117:DA117"/>
    <mergeCell ref="A123:G123"/>
    <mergeCell ref="H123:BC123"/>
    <mergeCell ref="BD123:BS123"/>
    <mergeCell ref="BT123:CI123"/>
    <mergeCell ref="CJ123:DA123"/>
    <mergeCell ref="A124:G124"/>
    <mergeCell ref="H124:BC124"/>
    <mergeCell ref="BD124:BS124"/>
    <mergeCell ref="BT124:CI124"/>
    <mergeCell ref="CJ124:DA124"/>
    <mergeCell ref="A125:G125"/>
    <mergeCell ref="H125:BC125"/>
    <mergeCell ref="BD125:BS125"/>
    <mergeCell ref="BT125:CI125"/>
    <mergeCell ref="CJ125:DA125"/>
    <mergeCell ref="A126:G126"/>
    <mergeCell ref="H126:BC126"/>
    <mergeCell ref="BD126:BS126"/>
    <mergeCell ref="BT126:CI126"/>
    <mergeCell ref="CJ126:DA126"/>
    <mergeCell ref="A133:G133"/>
    <mergeCell ref="H133:AO133"/>
    <mergeCell ref="AP133:BE133"/>
    <mergeCell ref="BF133:BU133"/>
    <mergeCell ref="BV133:CK133"/>
    <mergeCell ref="CL133:DA133"/>
    <mergeCell ref="A130:DA130"/>
    <mergeCell ref="A132:G132"/>
    <mergeCell ref="H132:AO132"/>
    <mergeCell ref="AP132:BE132"/>
    <mergeCell ref="BF132:BU132"/>
    <mergeCell ref="BV132:CK132"/>
    <mergeCell ref="CL132:DA132"/>
    <mergeCell ref="A135:G135"/>
    <mergeCell ref="H135:AO135"/>
    <mergeCell ref="AP135:BE135"/>
    <mergeCell ref="BF135:BU135"/>
    <mergeCell ref="BV135:CK135"/>
    <mergeCell ref="CL135:DA135"/>
    <mergeCell ref="A134:G134"/>
    <mergeCell ref="H134:AO134"/>
    <mergeCell ref="AP134:BE134"/>
    <mergeCell ref="BF134:BU134"/>
    <mergeCell ref="BV134:CK134"/>
    <mergeCell ref="CL134:DA134"/>
    <mergeCell ref="A137:G137"/>
    <mergeCell ref="H137:AO137"/>
    <mergeCell ref="AP137:BE137"/>
    <mergeCell ref="BF137:BU137"/>
    <mergeCell ref="BV137:CK137"/>
    <mergeCell ref="CL137:DA137"/>
    <mergeCell ref="A136:G136"/>
    <mergeCell ref="H136:AO136"/>
    <mergeCell ref="AP136:BE136"/>
    <mergeCell ref="BF136:BU136"/>
    <mergeCell ref="BV136:CK136"/>
    <mergeCell ref="CL136:DA136"/>
    <mergeCell ref="A142:G142"/>
    <mergeCell ref="H142:AO142"/>
    <mergeCell ref="AP142:BE142"/>
    <mergeCell ref="BF142:BU142"/>
    <mergeCell ref="BV142:CK142"/>
    <mergeCell ref="CL142:DA142"/>
    <mergeCell ref="A139:DA139"/>
    <mergeCell ref="A141:G141"/>
    <mergeCell ref="H141:AO141"/>
    <mergeCell ref="AP141:BE141"/>
    <mergeCell ref="BF141:BU141"/>
    <mergeCell ref="BV141:CK141"/>
    <mergeCell ref="CL141:DA141"/>
    <mergeCell ref="A144:G144"/>
    <mergeCell ref="H144:AO144"/>
    <mergeCell ref="AP144:BE144"/>
    <mergeCell ref="BF144:BU144"/>
    <mergeCell ref="BV144:CK144"/>
    <mergeCell ref="CL144:DA144"/>
    <mergeCell ref="A143:G143"/>
    <mergeCell ref="H143:AO143"/>
    <mergeCell ref="AP143:BE143"/>
    <mergeCell ref="BF143:BU143"/>
    <mergeCell ref="BV143:CK143"/>
    <mergeCell ref="CL143:DA143"/>
    <mergeCell ref="A148:DA148"/>
    <mergeCell ref="A151:G151"/>
    <mergeCell ref="H151:BC151"/>
    <mergeCell ref="BD151:BS151"/>
    <mergeCell ref="BT151:CI151"/>
    <mergeCell ref="CJ151:DA151"/>
    <mergeCell ref="A145:G145"/>
    <mergeCell ref="H145:AO145"/>
    <mergeCell ref="AP145:BE145"/>
    <mergeCell ref="BF145:BU145"/>
    <mergeCell ref="BV145:CK145"/>
    <mergeCell ref="CL145:DA145"/>
    <mergeCell ref="A152:G152"/>
    <mergeCell ref="H152:BC152"/>
    <mergeCell ref="BD152:BS152"/>
    <mergeCell ref="BT152:CI152"/>
    <mergeCell ref="CJ152:DA152"/>
    <mergeCell ref="A153:G153"/>
    <mergeCell ref="H153:BC153"/>
    <mergeCell ref="BD153:BS153"/>
    <mergeCell ref="BT153:CI153"/>
    <mergeCell ref="CJ153:DA153"/>
    <mergeCell ref="A157:DA157"/>
    <mergeCell ref="A160:G160"/>
    <mergeCell ref="H160:BC160"/>
    <mergeCell ref="BD160:BS160"/>
    <mergeCell ref="BT160:CI160"/>
    <mergeCell ref="CJ160:DA160"/>
    <mergeCell ref="A154:G154"/>
    <mergeCell ref="H154:BC154"/>
    <mergeCell ref="BD154:BS154"/>
    <mergeCell ref="BT154:CI154"/>
    <mergeCell ref="CJ154:DA154"/>
    <mergeCell ref="A155:G155"/>
    <mergeCell ref="H155:BC155"/>
    <mergeCell ref="BD155:BS155"/>
    <mergeCell ref="BT155:CI155"/>
    <mergeCell ref="CJ155:DA155"/>
    <mergeCell ref="A161:G161"/>
    <mergeCell ref="H161:BC161"/>
    <mergeCell ref="BD161:BS161"/>
    <mergeCell ref="BT161:CI161"/>
    <mergeCell ref="CJ161:DA161"/>
    <mergeCell ref="A162:G162"/>
    <mergeCell ref="H162:BC162"/>
    <mergeCell ref="BD162:BS162"/>
    <mergeCell ref="BT162:CI162"/>
    <mergeCell ref="CJ162:DA162"/>
    <mergeCell ref="A163:G163"/>
    <mergeCell ref="H163:BC163"/>
    <mergeCell ref="BD163:BS163"/>
    <mergeCell ref="BT163:CI163"/>
    <mergeCell ref="CJ163:DA163"/>
    <mergeCell ref="A164:G164"/>
    <mergeCell ref="H164:BC164"/>
    <mergeCell ref="BD164:BS164"/>
    <mergeCell ref="BT164:CI164"/>
    <mergeCell ref="CJ164:DA164"/>
    <mergeCell ref="A167:G167"/>
    <mergeCell ref="H167:BC167"/>
    <mergeCell ref="BD167:BS167"/>
    <mergeCell ref="BT167:CI167"/>
    <mergeCell ref="CJ167:DA167"/>
    <mergeCell ref="A165:G165"/>
    <mergeCell ref="H165:BC165"/>
    <mergeCell ref="BD165:BS165"/>
    <mergeCell ref="BT165:CI165"/>
    <mergeCell ref="CJ165:DA165"/>
    <mergeCell ref="A166:G166"/>
    <mergeCell ref="H166:BC166"/>
    <mergeCell ref="BD166:BS166"/>
    <mergeCell ref="BT166:CI166"/>
    <mergeCell ref="CJ166:DA166"/>
  </mergeCells>
  <pageMargins left="0.7" right="0.7" top="0.75" bottom="0.75" header="0.3" footer="0.3"/>
  <pageSetup paperSize="9" scale="98" orientation="portrait" r:id="rId1"/>
  <rowBreaks count="2" manualBreakCount="2">
    <brk id="98" max="104" man="1"/>
    <brk id="138" max="10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SheetLayoutView="100" workbookViewId="0">
      <selection activeCell="F11" sqref="F11"/>
    </sheetView>
  </sheetViews>
  <sheetFormatPr defaultColWidth="9.140625" defaultRowHeight="15" x14ac:dyDescent="0.25"/>
  <cols>
    <col min="1" max="1" width="31.7109375" style="61" customWidth="1"/>
    <col min="2" max="2" width="11.5703125" style="61" customWidth="1"/>
    <col min="3" max="3" width="14.42578125" style="61" customWidth="1"/>
    <col min="4" max="4" width="14.7109375" style="61" customWidth="1"/>
    <col min="5" max="5" width="17.42578125" style="61" customWidth="1"/>
    <col min="6" max="6" width="17.5703125" style="61" customWidth="1"/>
    <col min="7" max="16384" width="9.140625" style="61"/>
  </cols>
  <sheetData>
    <row r="1" spans="1:6" x14ac:dyDescent="0.25">
      <c r="A1" s="59"/>
      <c r="B1" s="60"/>
      <c r="C1" s="60"/>
      <c r="D1" s="60"/>
      <c r="E1" s="60"/>
      <c r="F1" s="60"/>
    </row>
    <row r="2" spans="1:6" x14ac:dyDescent="0.25">
      <c r="A2" s="639" t="s">
        <v>151</v>
      </c>
      <c r="B2" s="639"/>
      <c r="C2" s="639"/>
      <c r="D2" s="639"/>
      <c r="E2" s="639"/>
      <c r="F2" s="639"/>
    </row>
    <row r="3" spans="1:6" ht="63.75" x14ac:dyDescent="0.25">
      <c r="A3" s="56"/>
      <c r="B3" s="47" t="s">
        <v>111</v>
      </c>
      <c r="C3" s="62" t="s">
        <v>152</v>
      </c>
      <c r="D3" s="47" t="s">
        <v>112</v>
      </c>
      <c r="E3" s="47" t="s">
        <v>113</v>
      </c>
      <c r="F3" s="47" t="s">
        <v>110</v>
      </c>
    </row>
    <row r="4" spans="1:6" x14ac:dyDescent="0.25">
      <c r="A4" s="56">
        <v>1</v>
      </c>
      <c r="B4" s="57">
        <v>2</v>
      </c>
      <c r="C4" s="63">
        <v>3</v>
      </c>
      <c r="D4" s="57">
        <v>4</v>
      </c>
      <c r="E4" s="57">
        <v>5</v>
      </c>
      <c r="F4" s="57">
        <v>6</v>
      </c>
    </row>
    <row r="5" spans="1:6" x14ac:dyDescent="0.25">
      <c r="A5" s="47" t="s">
        <v>769</v>
      </c>
      <c r="B5" s="47"/>
      <c r="C5" s="62"/>
      <c r="D5" s="47"/>
      <c r="E5" s="64">
        <f>D5*C5</f>
        <v>0</v>
      </c>
      <c r="F5" s="65">
        <f>E5*B5*1.042</f>
        <v>0</v>
      </c>
    </row>
    <row r="6" spans="1:6" ht="25.5" x14ac:dyDescent="0.25">
      <c r="A6" s="47" t="s">
        <v>153</v>
      </c>
      <c r="B6" s="64">
        <v>157</v>
      </c>
      <c r="C6" s="64">
        <v>11</v>
      </c>
      <c r="D6" s="64">
        <v>170</v>
      </c>
      <c r="E6" s="64">
        <f>D6*C6</f>
        <v>1870</v>
      </c>
      <c r="F6" s="65">
        <f>E6*B6*1.042</f>
        <v>305920.78000000003</v>
      </c>
    </row>
    <row r="7" spans="1:6" ht="25.5" x14ac:dyDescent="0.25">
      <c r="A7" s="47" t="s">
        <v>154</v>
      </c>
      <c r="B7" s="64">
        <v>107</v>
      </c>
      <c r="C7" s="64">
        <v>24</v>
      </c>
      <c r="D7" s="64">
        <v>170</v>
      </c>
      <c r="E7" s="66">
        <f>C7*D7</f>
        <v>4080</v>
      </c>
      <c r="F7" s="65">
        <f>B7*E7*1.042</f>
        <v>454895.52</v>
      </c>
    </row>
    <row r="8" spans="1:6" ht="63.75" x14ac:dyDescent="0.25">
      <c r="A8" s="47" t="s">
        <v>770</v>
      </c>
      <c r="B8" s="64">
        <v>53.5</v>
      </c>
      <c r="C8" s="64">
        <v>27</v>
      </c>
      <c r="D8" s="64">
        <v>170</v>
      </c>
      <c r="E8" s="66">
        <f>C8*D8</f>
        <v>4590</v>
      </c>
      <c r="F8" s="65">
        <f>B8*E8*1.042</f>
        <v>255878.73</v>
      </c>
    </row>
    <row r="9" spans="1:6" ht="46.5" customHeight="1" x14ac:dyDescent="0.25">
      <c r="A9" s="47" t="s">
        <v>155</v>
      </c>
      <c r="B9" s="64">
        <v>401</v>
      </c>
      <c r="C9" s="64"/>
      <c r="D9" s="64"/>
      <c r="E9" s="66">
        <f>C9*D9</f>
        <v>0</v>
      </c>
      <c r="F9" s="65">
        <f>B9*E9*1.042</f>
        <v>0</v>
      </c>
    </row>
    <row r="10" spans="1:6" x14ac:dyDescent="0.25">
      <c r="A10" s="64" t="s">
        <v>150</v>
      </c>
      <c r="B10" s="64"/>
      <c r="C10" s="64"/>
      <c r="D10" s="64"/>
      <c r="E10" s="64"/>
      <c r="F10" s="347">
        <f>F5+F6+F7+F8+F9</f>
        <v>1016695.03</v>
      </c>
    </row>
    <row r="11" spans="1:6" x14ac:dyDescent="0.25">
      <c r="A11" s="67"/>
      <c r="B11" s="67"/>
      <c r="C11" s="67"/>
      <c r="D11" s="67"/>
      <c r="E11" s="67"/>
      <c r="F11" s="68"/>
    </row>
    <row r="12" spans="1:6" x14ac:dyDescent="0.25">
      <c r="A12" s="67"/>
      <c r="B12" s="67"/>
      <c r="C12" s="67"/>
      <c r="D12" s="67"/>
      <c r="E12" s="67"/>
      <c r="F12" s="67"/>
    </row>
    <row r="13" spans="1:6" x14ac:dyDescent="0.25">
      <c r="A13" s="67"/>
      <c r="B13" s="67"/>
      <c r="C13" s="67"/>
      <c r="D13" s="67"/>
      <c r="E13" s="67"/>
      <c r="F13" s="67"/>
    </row>
  </sheetData>
  <mergeCells count="1">
    <mergeCell ref="A2:F2"/>
  </mergeCells>
  <pageMargins left="0.7" right="0.7" top="0.75" bottom="0.75" header="0.3" footer="0.3"/>
  <pageSetup paperSize="9" scale="8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view="pageBreakPreview" zoomScale="50" zoomScaleNormal="37" zoomScaleSheetLayoutView="50" workbookViewId="0">
      <selection activeCell="A40" sqref="A40:XFD88"/>
    </sheetView>
  </sheetViews>
  <sheetFormatPr defaultColWidth="8.85546875" defaultRowHeight="15" x14ac:dyDescent="0.25"/>
  <cols>
    <col min="1" max="1" width="10.140625" style="7" customWidth="1"/>
    <col min="2" max="2" width="29.140625" style="7" customWidth="1"/>
    <col min="3" max="3" width="29.28515625" style="7" customWidth="1"/>
    <col min="4" max="4" width="23" style="7" customWidth="1"/>
    <col min="5" max="5" width="33.140625" style="7" customWidth="1"/>
    <col min="6" max="6" width="24.7109375" style="7" customWidth="1"/>
    <col min="7" max="7" width="27.28515625" style="7" customWidth="1"/>
    <col min="8" max="8" width="20.5703125" style="7" customWidth="1"/>
    <col min="9" max="9" width="32.28515625" style="7" customWidth="1"/>
    <col min="10" max="10" width="17" style="7" customWidth="1"/>
    <col min="11" max="11" width="29" style="7" customWidth="1"/>
    <col min="12" max="12" width="30.7109375" style="7" customWidth="1"/>
    <col min="13" max="13" width="37.5703125" style="7" customWidth="1"/>
    <col min="14" max="14" width="24.42578125" style="7" customWidth="1"/>
    <col min="15" max="15" width="26.42578125" style="7" customWidth="1"/>
    <col min="16" max="16" width="23.28515625" style="7" customWidth="1"/>
    <col min="17" max="17" width="26" style="7" customWidth="1"/>
    <col min="18" max="18" width="11" style="7" customWidth="1"/>
    <col min="19" max="19" width="26.85546875" style="7" customWidth="1"/>
    <col min="20" max="20" width="19.42578125" style="7" customWidth="1"/>
    <col min="21" max="21" width="29.42578125" style="7" customWidth="1"/>
    <col min="22" max="22" width="21.85546875" style="7" customWidth="1"/>
    <col min="23" max="23" width="16.7109375" style="7" customWidth="1"/>
    <col min="24" max="24" width="35.42578125" style="7" customWidth="1"/>
    <col min="25" max="25" width="32.140625" style="7" customWidth="1"/>
    <col min="26" max="26" width="24.5703125" style="7" customWidth="1"/>
    <col min="27" max="27" width="12.42578125" style="7" customWidth="1"/>
    <col min="28" max="28" width="27.5703125" style="7" customWidth="1"/>
    <col min="29" max="29" width="9.28515625" style="7" bestFit="1" customWidth="1"/>
    <col min="30" max="30" width="22.5703125" style="7" customWidth="1"/>
    <col min="31" max="31" width="19.28515625" style="7" customWidth="1"/>
    <col min="32" max="32" width="32.42578125" style="7" customWidth="1"/>
    <col min="33" max="16384" width="8.85546875" style="7"/>
  </cols>
  <sheetData>
    <row r="1" spans="1:33" ht="26.25" x14ac:dyDescent="0.25">
      <c r="B1" s="644" t="s">
        <v>14</v>
      </c>
      <c r="C1" s="644"/>
      <c r="D1" s="644"/>
      <c r="E1" s="644"/>
      <c r="F1" s="644"/>
      <c r="G1" s="644"/>
      <c r="H1" s="644"/>
      <c r="I1" s="644"/>
      <c r="J1" s="644"/>
      <c r="K1" s="644"/>
      <c r="L1" s="8"/>
      <c r="M1" s="8"/>
      <c r="N1" s="8"/>
      <c r="O1" s="8"/>
      <c r="P1" s="8"/>
      <c r="Q1" s="8"/>
      <c r="R1" s="8"/>
      <c r="S1" s="8"/>
      <c r="T1" s="8"/>
      <c r="U1" s="8"/>
    </row>
    <row r="2" spans="1:33" ht="26.25" customHeight="1" x14ac:dyDescent="0.25">
      <c r="A2" s="640" t="s">
        <v>15</v>
      </c>
      <c r="B2" s="640" t="s">
        <v>17</v>
      </c>
      <c r="C2" s="640" t="s">
        <v>18</v>
      </c>
      <c r="D2" s="640" t="s">
        <v>19</v>
      </c>
      <c r="E2" s="640"/>
      <c r="F2" s="640"/>
      <c r="G2" s="640"/>
      <c r="H2" s="640"/>
      <c r="I2" s="640"/>
      <c r="J2" s="640"/>
      <c r="K2" s="640"/>
      <c r="L2" s="640" t="s">
        <v>17</v>
      </c>
      <c r="M2" s="640" t="s">
        <v>18</v>
      </c>
      <c r="N2" s="640" t="s">
        <v>20</v>
      </c>
      <c r="O2" s="640"/>
      <c r="P2" s="640"/>
      <c r="Q2" s="640"/>
      <c r="R2" s="640"/>
      <c r="S2" s="640"/>
      <c r="T2" s="640"/>
      <c r="U2" s="640"/>
      <c r="V2" s="640" t="s">
        <v>16</v>
      </c>
      <c r="W2" s="640" t="s">
        <v>17</v>
      </c>
      <c r="X2" s="640" t="s">
        <v>18</v>
      </c>
      <c r="Y2" s="641" t="s">
        <v>31</v>
      </c>
      <c r="Z2" s="642"/>
      <c r="AA2" s="642"/>
      <c r="AB2" s="642"/>
      <c r="AC2" s="642"/>
      <c r="AD2" s="642"/>
      <c r="AE2" s="642"/>
      <c r="AF2" s="643"/>
      <c r="AG2" s="9"/>
    </row>
    <row r="3" spans="1:33" ht="27" customHeight="1" x14ac:dyDescent="0.25">
      <c r="A3" s="640"/>
      <c r="B3" s="640"/>
      <c r="C3" s="640"/>
      <c r="D3" s="640" t="s">
        <v>21</v>
      </c>
      <c r="E3" s="640" t="s">
        <v>22</v>
      </c>
      <c r="F3" s="640" t="s">
        <v>23</v>
      </c>
      <c r="G3" s="640"/>
      <c r="H3" s="640"/>
      <c r="I3" s="640"/>
      <c r="J3" s="640" t="s">
        <v>24</v>
      </c>
      <c r="K3" s="640" t="s">
        <v>25</v>
      </c>
      <c r="L3" s="640"/>
      <c r="M3" s="640"/>
      <c r="N3" s="640" t="s">
        <v>21</v>
      </c>
      <c r="O3" s="640" t="s">
        <v>22</v>
      </c>
      <c r="P3" s="640" t="s">
        <v>23</v>
      </c>
      <c r="Q3" s="640"/>
      <c r="R3" s="640"/>
      <c r="S3" s="640"/>
      <c r="T3" s="640" t="s">
        <v>24</v>
      </c>
      <c r="U3" s="640" t="s">
        <v>26</v>
      </c>
      <c r="V3" s="640"/>
      <c r="W3" s="640"/>
      <c r="X3" s="640"/>
      <c r="Y3" s="640" t="s">
        <v>21</v>
      </c>
      <c r="Z3" s="640" t="s">
        <v>22</v>
      </c>
      <c r="AA3" s="641" t="s">
        <v>23</v>
      </c>
      <c r="AB3" s="642"/>
      <c r="AC3" s="642"/>
      <c r="AD3" s="643"/>
      <c r="AE3" s="640" t="s">
        <v>24</v>
      </c>
      <c r="AF3" s="640" t="s">
        <v>32</v>
      </c>
      <c r="AG3" s="9"/>
    </row>
    <row r="4" spans="1:33" ht="189.75" customHeight="1" x14ac:dyDescent="0.25">
      <c r="A4" s="640"/>
      <c r="B4" s="640"/>
      <c r="C4" s="640"/>
      <c r="D4" s="640"/>
      <c r="E4" s="640"/>
      <c r="F4" s="371" t="s">
        <v>27</v>
      </c>
      <c r="G4" s="371" t="s">
        <v>28</v>
      </c>
      <c r="H4" s="371" t="s">
        <v>29</v>
      </c>
      <c r="I4" s="371" t="s">
        <v>30</v>
      </c>
      <c r="J4" s="640"/>
      <c r="K4" s="640"/>
      <c r="L4" s="640"/>
      <c r="M4" s="640"/>
      <c r="N4" s="640"/>
      <c r="O4" s="640"/>
      <c r="P4" s="371" t="s">
        <v>27</v>
      </c>
      <c r="Q4" s="371" t="s">
        <v>28</v>
      </c>
      <c r="R4" s="371" t="s">
        <v>29</v>
      </c>
      <c r="S4" s="371" t="s">
        <v>30</v>
      </c>
      <c r="T4" s="640"/>
      <c r="U4" s="640"/>
      <c r="V4" s="640"/>
      <c r="W4" s="640"/>
      <c r="X4" s="640"/>
      <c r="Y4" s="640"/>
      <c r="Z4" s="640"/>
      <c r="AA4" s="371" t="s">
        <v>27</v>
      </c>
      <c r="AB4" s="371" t="s">
        <v>28</v>
      </c>
      <c r="AC4" s="371" t="s">
        <v>29</v>
      </c>
      <c r="AD4" s="371" t="s">
        <v>30</v>
      </c>
      <c r="AE4" s="640"/>
      <c r="AF4" s="640"/>
      <c r="AG4" s="9"/>
    </row>
    <row r="5" spans="1:33" ht="105" x14ac:dyDescent="0.25">
      <c r="A5" s="371">
        <v>1</v>
      </c>
      <c r="B5" s="371" t="s">
        <v>1008</v>
      </c>
      <c r="C5" s="371" t="s">
        <v>1009</v>
      </c>
      <c r="D5" s="371">
        <v>1</v>
      </c>
      <c r="E5" s="432">
        <v>45000</v>
      </c>
      <c r="F5" s="371">
        <v>0</v>
      </c>
      <c r="G5" s="432">
        <v>0</v>
      </c>
      <c r="H5" s="371">
        <v>0</v>
      </c>
      <c r="I5" s="433">
        <v>0</v>
      </c>
      <c r="J5" s="371">
        <f>H5+F5+D5</f>
        <v>1</v>
      </c>
      <c r="K5" s="98">
        <f>(D5*E5)+(F5*G5)+(I5*H5)</f>
        <v>45000</v>
      </c>
      <c r="L5" s="371" t="s">
        <v>1010</v>
      </c>
      <c r="M5" s="370" t="s">
        <v>1011</v>
      </c>
      <c r="N5" s="371">
        <v>1</v>
      </c>
      <c r="O5" s="432">
        <v>45000</v>
      </c>
      <c r="P5" s="371">
        <v>0</v>
      </c>
      <c r="Q5" s="432">
        <v>0</v>
      </c>
      <c r="R5" s="371">
        <v>0</v>
      </c>
      <c r="S5" s="98">
        <v>0</v>
      </c>
      <c r="T5" s="371">
        <f>R5+P5+N5</f>
        <v>1</v>
      </c>
      <c r="U5" s="98">
        <f>(N5*O5)+(P5*Q5)+(S5*R5)</f>
        <v>45000</v>
      </c>
      <c r="V5" s="371"/>
      <c r="W5" s="371" t="s">
        <v>1012</v>
      </c>
      <c r="X5" s="371" t="s">
        <v>1013</v>
      </c>
      <c r="Y5" s="371">
        <v>1</v>
      </c>
      <c r="Z5" s="432">
        <v>45000</v>
      </c>
      <c r="AA5" s="371">
        <v>0</v>
      </c>
      <c r="AB5" s="432">
        <v>0</v>
      </c>
      <c r="AC5" s="371">
        <v>0</v>
      </c>
      <c r="AD5" s="98">
        <v>0</v>
      </c>
      <c r="AE5" s="371">
        <f>Y5+AA5+AC5</f>
        <v>1</v>
      </c>
      <c r="AF5" s="98">
        <f>(Y5*Z5)+(AA5*AB5)+(AD5*AC5)</f>
        <v>45000</v>
      </c>
      <c r="AG5" s="9"/>
    </row>
    <row r="6" spans="1:33" ht="131.25" x14ac:dyDescent="0.25">
      <c r="A6" s="371">
        <f>1+A5</f>
        <v>2</v>
      </c>
      <c r="B6" s="371" t="s">
        <v>1014</v>
      </c>
      <c r="C6" s="371" t="s">
        <v>1015</v>
      </c>
      <c r="D6" s="371">
        <v>1</v>
      </c>
      <c r="E6" s="432">
        <v>45000</v>
      </c>
      <c r="F6" s="371">
        <v>0</v>
      </c>
      <c r="G6" s="432">
        <v>0</v>
      </c>
      <c r="H6" s="371">
        <v>0</v>
      </c>
      <c r="I6" s="432">
        <v>0</v>
      </c>
      <c r="J6" s="371">
        <f t="shared" ref="J6:J16" si="0">H6+F6+D6</f>
        <v>1</v>
      </c>
      <c r="K6" s="98">
        <f t="shared" ref="K6:K38" si="1">(D6*E6)+(F6*G6)+(I6*H6)</f>
        <v>45000</v>
      </c>
      <c r="L6" s="371" t="s">
        <v>1016</v>
      </c>
      <c r="M6" s="370" t="s">
        <v>1017</v>
      </c>
      <c r="N6" s="371">
        <v>1</v>
      </c>
      <c r="O6" s="432">
        <v>45000</v>
      </c>
      <c r="P6" s="371">
        <v>0</v>
      </c>
      <c r="Q6" s="432">
        <v>0</v>
      </c>
      <c r="R6" s="371">
        <v>2</v>
      </c>
      <c r="S6" s="98">
        <v>90000</v>
      </c>
      <c r="T6" s="371">
        <f t="shared" ref="T6:T16" si="2">R6+P6+N6</f>
        <v>3</v>
      </c>
      <c r="U6" s="98">
        <f>Q6+O6+S6</f>
        <v>135000</v>
      </c>
      <c r="V6" s="371"/>
      <c r="W6" s="371" t="s">
        <v>1014</v>
      </c>
      <c r="X6" s="371" t="s">
        <v>1011</v>
      </c>
      <c r="Y6" s="371">
        <v>1</v>
      </c>
      <c r="Z6" s="432">
        <v>45000</v>
      </c>
      <c r="AA6" s="371">
        <v>0</v>
      </c>
      <c r="AB6" s="432">
        <v>0</v>
      </c>
      <c r="AC6" s="371">
        <v>0</v>
      </c>
      <c r="AD6" s="432">
        <v>0</v>
      </c>
      <c r="AE6" s="371">
        <f t="shared" ref="AE6:AE38" si="3">Y6+AA6+AC6</f>
        <v>1</v>
      </c>
      <c r="AF6" s="98">
        <f t="shared" ref="AF6:AF38" si="4">(Y6*Z6)+(AA6*AB6)+(AD6*AC6)</f>
        <v>45000</v>
      </c>
      <c r="AG6" s="9"/>
    </row>
    <row r="7" spans="1:33" ht="105" x14ac:dyDescent="0.25">
      <c r="A7" s="371">
        <f t="shared" ref="A7:A38" si="5">1+A6</f>
        <v>3</v>
      </c>
      <c r="B7" s="98" t="s">
        <v>1016</v>
      </c>
      <c r="C7" s="371" t="s">
        <v>1018</v>
      </c>
      <c r="D7" s="371">
        <v>1</v>
      </c>
      <c r="E7" s="432">
        <v>45000</v>
      </c>
      <c r="F7" s="371">
        <v>0</v>
      </c>
      <c r="G7" s="432">
        <v>0</v>
      </c>
      <c r="H7" s="371">
        <v>1</v>
      </c>
      <c r="I7" s="432">
        <v>45000</v>
      </c>
      <c r="J7" s="371">
        <f t="shared" si="0"/>
        <v>2</v>
      </c>
      <c r="K7" s="98">
        <f t="shared" si="1"/>
        <v>90000</v>
      </c>
      <c r="L7" s="371" t="s">
        <v>1019</v>
      </c>
      <c r="M7" s="370" t="s">
        <v>1017</v>
      </c>
      <c r="N7" s="371">
        <v>1</v>
      </c>
      <c r="O7" s="432">
        <v>45000</v>
      </c>
      <c r="P7" s="371">
        <v>0</v>
      </c>
      <c r="Q7" s="432">
        <v>0</v>
      </c>
      <c r="R7" s="371">
        <v>1</v>
      </c>
      <c r="S7" s="98">
        <v>45000</v>
      </c>
      <c r="T7" s="371">
        <f t="shared" si="2"/>
        <v>2</v>
      </c>
      <c r="U7" s="98">
        <f t="shared" ref="U7:U37" si="6">(N7*O7)+(P7*Q7)+(S7*R7)</f>
        <v>90000</v>
      </c>
      <c r="V7" s="98"/>
      <c r="W7" s="98" t="s">
        <v>1016</v>
      </c>
      <c r="X7" s="371" t="s">
        <v>1018</v>
      </c>
      <c r="Y7" s="371">
        <v>1</v>
      </c>
      <c r="Z7" s="432">
        <v>45000</v>
      </c>
      <c r="AA7" s="371">
        <v>1</v>
      </c>
      <c r="AB7" s="432">
        <v>45000</v>
      </c>
      <c r="AC7" s="371">
        <v>0</v>
      </c>
      <c r="AD7" s="432">
        <v>0</v>
      </c>
      <c r="AE7" s="371">
        <f t="shared" si="3"/>
        <v>2</v>
      </c>
      <c r="AF7" s="98">
        <f t="shared" si="4"/>
        <v>90000</v>
      </c>
      <c r="AG7" s="9"/>
    </row>
    <row r="8" spans="1:33" ht="105" x14ac:dyDescent="0.25">
      <c r="A8" s="371">
        <f t="shared" si="5"/>
        <v>4</v>
      </c>
      <c r="B8" s="98" t="s">
        <v>1016</v>
      </c>
      <c r="C8" s="371" t="s">
        <v>1020</v>
      </c>
      <c r="D8" s="371">
        <v>1</v>
      </c>
      <c r="E8" s="432">
        <v>36000</v>
      </c>
      <c r="F8" s="371">
        <v>1</v>
      </c>
      <c r="G8" s="432">
        <v>32000</v>
      </c>
      <c r="H8" s="371">
        <v>1</v>
      </c>
      <c r="I8" s="98">
        <v>32000</v>
      </c>
      <c r="J8" s="371">
        <f t="shared" si="0"/>
        <v>3</v>
      </c>
      <c r="K8" s="98">
        <f t="shared" si="1"/>
        <v>100000</v>
      </c>
      <c r="L8" s="371" t="s">
        <v>773</v>
      </c>
      <c r="M8" s="370" t="s">
        <v>1021</v>
      </c>
      <c r="N8" s="371">
        <v>1</v>
      </c>
      <c r="O8" s="432">
        <v>45000</v>
      </c>
      <c r="P8" s="371">
        <v>0</v>
      </c>
      <c r="Q8" s="432">
        <v>0</v>
      </c>
      <c r="R8" s="371">
        <v>0</v>
      </c>
      <c r="S8" s="98">
        <v>0</v>
      </c>
      <c r="T8" s="371">
        <f t="shared" si="2"/>
        <v>1</v>
      </c>
      <c r="U8" s="98">
        <f>S8+Q8+O8</f>
        <v>45000</v>
      </c>
      <c r="V8" s="98"/>
      <c r="W8" s="98" t="s">
        <v>1016</v>
      </c>
      <c r="X8" s="371" t="s">
        <v>1020</v>
      </c>
      <c r="Y8" s="371">
        <v>1</v>
      </c>
      <c r="Z8" s="432">
        <v>36000</v>
      </c>
      <c r="AA8" s="371">
        <v>1</v>
      </c>
      <c r="AB8" s="432">
        <v>32000</v>
      </c>
      <c r="AC8" s="371">
        <v>1</v>
      </c>
      <c r="AD8" s="98">
        <v>32000</v>
      </c>
      <c r="AE8" s="371">
        <f t="shared" si="3"/>
        <v>3</v>
      </c>
      <c r="AF8" s="98">
        <f t="shared" si="4"/>
        <v>100000</v>
      </c>
      <c r="AG8" s="9"/>
    </row>
    <row r="9" spans="1:33" ht="105" x14ac:dyDescent="0.25">
      <c r="A9" s="371">
        <f t="shared" si="5"/>
        <v>5</v>
      </c>
      <c r="B9" s="98" t="s">
        <v>1022</v>
      </c>
      <c r="C9" s="371" t="s">
        <v>1011</v>
      </c>
      <c r="D9" s="371">
        <v>1</v>
      </c>
      <c r="E9" s="432">
        <v>45000</v>
      </c>
      <c r="F9" s="371">
        <v>0</v>
      </c>
      <c r="G9" s="432">
        <v>0</v>
      </c>
      <c r="H9" s="371">
        <v>0</v>
      </c>
      <c r="I9" s="433">
        <v>0</v>
      </c>
      <c r="J9" s="371">
        <f t="shared" si="0"/>
        <v>1</v>
      </c>
      <c r="K9" s="98">
        <f t="shared" si="1"/>
        <v>45000</v>
      </c>
      <c r="L9" s="371" t="s">
        <v>1023</v>
      </c>
      <c r="M9" s="370" t="s">
        <v>1018</v>
      </c>
      <c r="N9" s="371">
        <v>1</v>
      </c>
      <c r="O9" s="432">
        <v>45000</v>
      </c>
      <c r="P9" s="371">
        <v>0</v>
      </c>
      <c r="Q9" s="432">
        <v>0</v>
      </c>
      <c r="R9" s="371">
        <v>0</v>
      </c>
      <c r="S9" s="432">
        <v>0</v>
      </c>
      <c r="T9" s="371">
        <f t="shared" si="2"/>
        <v>1</v>
      </c>
      <c r="U9" s="98">
        <f t="shared" si="6"/>
        <v>45000</v>
      </c>
      <c r="V9" s="98"/>
      <c r="W9" s="98" t="s">
        <v>1022</v>
      </c>
      <c r="X9" s="371" t="s">
        <v>1011</v>
      </c>
      <c r="Y9" s="371">
        <v>1</v>
      </c>
      <c r="Z9" s="432">
        <v>45000</v>
      </c>
      <c r="AA9" s="371">
        <v>0</v>
      </c>
      <c r="AB9" s="432">
        <v>0</v>
      </c>
      <c r="AC9" s="371">
        <v>0</v>
      </c>
      <c r="AD9" s="98">
        <v>0</v>
      </c>
      <c r="AE9" s="371">
        <f t="shared" si="3"/>
        <v>1</v>
      </c>
      <c r="AF9" s="98">
        <f t="shared" si="4"/>
        <v>45000</v>
      </c>
      <c r="AG9" s="9"/>
    </row>
    <row r="10" spans="1:33" ht="157.5" x14ac:dyDescent="0.25">
      <c r="A10" s="371">
        <f t="shared" si="5"/>
        <v>6</v>
      </c>
      <c r="B10" s="98" t="s">
        <v>1024</v>
      </c>
      <c r="C10" s="371" t="s">
        <v>1015</v>
      </c>
      <c r="D10" s="371">
        <v>1</v>
      </c>
      <c r="E10" s="432">
        <v>45000</v>
      </c>
      <c r="F10" s="371">
        <v>0</v>
      </c>
      <c r="G10" s="432">
        <v>0</v>
      </c>
      <c r="H10" s="371">
        <v>0</v>
      </c>
      <c r="I10" s="432">
        <v>0</v>
      </c>
      <c r="J10" s="371">
        <f>H10+F10+D10</f>
        <v>1</v>
      </c>
      <c r="K10" s="98">
        <f t="shared" si="1"/>
        <v>45000</v>
      </c>
      <c r="L10" s="371" t="s">
        <v>1023</v>
      </c>
      <c r="M10" s="370" t="s">
        <v>1011</v>
      </c>
      <c r="N10" s="371">
        <v>1</v>
      </c>
      <c r="O10" s="432">
        <v>45000</v>
      </c>
      <c r="P10" s="371">
        <v>1</v>
      </c>
      <c r="Q10" s="432">
        <v>45000</v>
      </c>
      <c r="R10" s="371">
        <v>1</v>
      </c>
      <c r="S10" s="98">
        <v>45000</v>
      </c>
      <c r="T10" s="371">
        <f>R10+P10+N10</f>
        <v>3</v>
      </c>
      <c r="U10" s="98">
        <f t="shared" si="6"/>
        <v>135000</v>
      </c>
      <c r="V10" s="98"/>
      <c r="W10" s="98" t="s">
        <v>1024</v>
      </c>
      <c r="X10" s="371" t="s">
        <v>1015</v>
      </c>
      <c r="Y10" s="371">
        <v>1</v>
      </c>
      <c r="Z10" s="432">
        <v>45000</v>
      </c>
      <c r="AA10" s="371">
        <v>0</v>
      </c>
      <c r="AB10" s="432">
        <v>0</v>
      </c>
      <c r="AC10" s="371">
        <v>0</v>
      </c>
      <c r="AD10" s="432">
        <v>0</v>
      </c>
      <c r="AE10" s="371">
        <f t="shared" si="3"/>
        <v>1</v>
      </c>
      <c r="AF10" s="98">
        <f t="shared" si="4"/>
        <v>45000</v>
      </c>
      <c r="AG10" s="9"/>
    </row>
    <row r="11" spans="1:33" ht="78.75" x14ac:dyDescent="0.25">
      <c r="A11" s="371">
        <f t="shared" si="5"/>
        <v>7</v>
      </c>
      <c r="B11" s="98" t="s">
        <v>777</v>
      </c>
      <c r="C11" s="98" t="s">
        <v>1015</v>
      </c>
      <c r="D11" s="371">
        <v>1</v>
      </c>
      <c r="E11" s="432">
        <v>45000</v>
      </c>
      <c r="F11" s="371">
        <v>0</v>
      </c>
      <c r="G11" s="432">
        <v>0</v>
      </c>
      <c r="H11" s="371">
        <v>0</v>
      </c>
      <c r="I11" s="432">
        <v>0</v>
      </c>
      <c r="J11" s="371">
        <f t="shared" si="0"/>
        <v>1</v>
      </c>
      <c r="K11" s="98">
        <f t="shared" si="1"/>
        <v>45000</v>
      </c>
      <c r="L11" s="371" t="s">
        <v>773</v>
      </c>
      <c r="M11" s="370" t="s">
        <v>1025</v>
      </c>
      <c r="N11" s="371">
        <v>1</v>
      </c>
      <c r="O11" s="432">
        <v>30000</v>
      </c>
      <c r="P11" s="371">
        <v>0</v>
      </c>
      <c r="Q11" s="432">
        <v>0</v>
      </c>
      <c r="R11" s="371">
        <v>0</v>
      </c>
      <c r="S11" s="432">
        <v>0</v>
      </c>
      <c r="T11" s="371">
        <f t="shared" si="2"/>
        <v>1</v>
      </c>
      <c r="U11" s="98">
        <f t="shared" si="6"/>
        <v>30000</v>
      </c>
      <c r="V11" s="98"/>
      <c r="W11" s="98" t="s">
        <v>777</v>
      </c>
      <c r="X11" s="371" t="s">
        <v>1015</v>
      </c>
      <c r="Y11" s="371">
        <v>1</v>
      </c>
      <c r="Z11" s="432">
        <v>45000</v>
      </c>
      <c r="AA11" s="371">
        <v>0</v>
      </c>
      <c r="AB11" s="432">
        <v>0</v>
      </c>
      <c r="AC11" s="371">
        <v>0</v>
      </c>
      <c r="AD11" s="432">
        <v>0</v>
      </c>
      <c r="AE11" s="371">
        <f t="shared" si="3"/>
        <v>1</v>
      </c>
      <c r="AF11" s="98">
        <f t="shared" si="4"/>
        <v>45000</v>
      </c>
      <c r="AG11" s="9"/>
    </row>
    <row r="12" spans="1:33" ht="105" x14ac:dyDescent="0.25">
      <c r="A12" s="371">
        <f t="shared" si="5"/>
        <v>8</v>
      </c>
      <c r="B12" s="98" t="s">
        <v>1026</v>
      </c>
      <c r="C12" s="98" t="s">
        <v>1027</v>
      </c>
      <c r="D12" s="371">
        <v>1</v>
      </c>
      <c r="E12" s="432">
        <v>45000</v>
      </c>
      <c r="F12" s="371">
        <v>0</v>
      </c>
      <c r="G12" s="432">
        <v>0</v>
      </c>
      <c r="H12" s="371">
        <v>0</v>
      </c>
      <c r="I12" s="433">
        <v>0</v>
      </c>
      <c r="J12" s="371">
        <f t="shared" si="0"/>
        <v>1</v>
      </c>
      <c r="K12" s="98">
        <f t="shared" si="1"/>
        <v>45000</v>
      </c>
      <c r="L12" s="371" t="s">
        <v>1028</v>
      </c>
      <c r="M12" s="370" t="s">
        <v>1029</v>
      </c>
      <c r="N12" s="371">
        <v>1</v>
      </c>
      <c r="O12" s="432">
        <v>45000</v>
      </c>
      <c r="P12" s="371">
        <v>1</v>
      </c>
      <c r="Q12" s="432">
        <v>45000</v>
      </c>
      <c r="R12" s="371">
        <v>2</v>
      </c>
      <c r="S12" s="432">
        <v>45000</v>
      </c>
      <c r="T12" s="371">
        <f t="shared" si="2"/>
        <v>4</v>
      </c>
      <c r="U12" s="98">
        <f t="shared" si="6"/>
        <v>180000</v>
      </c>
      <c r="V12" s="98"/>
      <c r="W12" s="98" t="s">
        <v>1026</v>
      </c>
      <c r="X12" s="98" t="s">
        <v>1030</v>
      </c>
      <c r="Y12" s="371">
        <v>1</v>
      </c>
      <c r="Z12" s="432">
        <v>45000</v>
      </c>
      <c r="AA12" s="371">
        <v>0</v>
      </c>
      <c r="AB12" s="432">
        <v>0</v>
      </c>
      <c r="AC12" s="371">
        <v>0</v>
      </c>
      <c r="AD12" s="98">
        <v>0</v>
      </c>
      <c r="AE12" s="371">
        <f t="shared" si="3"/>
        <v>1</v>
      </c>
      <c r="AF12" s="98">
        <f t="shared" si="4"/>
        <v>45000</v>
      </c>
      <c r="AG12" s="9"/>
    </row>
    <row r="13" spans="1:33" ht="131.25" x14ac:dyDescent="0.25">
      <c r="A13" s="371">
        <f t="shared" si="5"/>
        <v>9</v>
      </c>
      <c r="B13" s="98" t="s">
        <v>774</v>
      </c>
      <c r="C13" s="98" t="s">
        <v>1031</v>
      </c>
      <c r="D13" s="371">
        <v>1</v>
      </c>
      <c r="E13" s="432">
        <v>25000</v>
      </c>
      <c r="F13" s="371">
        <v>0</v>
      </c>
      <c r="G13" s="432">
        <v>0</v>
      </c>
      <c r="H13" s="371">
        <v>0</v>
      </c>
      <c r="I13" s="98">
        <v>0</v>
      </c>
      <c r="J13" s="371">
        <f t="shared" si="0"/>
        <v>1</v>
      </c>
      <c r="K13" s="98">
        <f t="shared" si="1"/>
        <v>25000</v>
      </c>
      <c r="L13" s="371" t="s">
        <v>772</v>
      </c>
      <c r="M13" s="370" t="s">
        <v>1032</v>
      </c>
      <c r="N13" s="371">
        <v>1</v>
      </c>
      <c r="O13" s="432">
        <v>45000</v>
      </c>
      <c r="P13" s="371">
        <v>1</v>
      </c>
      <c r="Q13" s="432">
        <v>45000</v>
      </c>
      <c r="R13" s="371">
        <v>1</v>
      </c>
      <c r="S13" s="98">
        <v>45000</v>
      </c>
      <c r="T13" s="371">
        <f t="shared" si="2"/>
        <v>3</v>
      </c>
      <c r="U13" s="98">
        <f t="shared" si="6"/>
        <v>135000</v>
      </c>
      <c r="V13" s="98"/>
      <c r="W13" s="98" t="s">
        <v>1033</v>
      </c>
      <c r="X13" s="98" t="s">
        <v>1011</v>
      </c>
      <c r="Y13" s="371">
        <v>1</v>
      </c>
      <c r="Z13" s="432">
        <v>45000</v>
      </c>
      <c r="AA13" s="371">
        <v>1</v>
      </c>
      <c r="AB13" s="432">
        <v>45000</v>
      </c>
      <c r="AC13" s="371">
        <v>1</v>
      </c>
      <c r="AD13" s="98">
        <v>45000</v>
      </c>
      <c r="AE13" s="371">
        <f t="shared" si="3"/>
        <v>3</v>
      </c>
      <c r="AF13" s="98">
        <f t="shared" si="4"/>
        <v>135000</v>
      </c>
      <c r="AG13" s="9"/>
    </row>
    <row r="14" spans="1:33" ht="78.75" x14ac:dyDescent="0.25">
      <c r="A14" s="371">
        <f t="shared" si="5"/>
        <v>10</v>
      </c>
      <c r="B14" s="98" t="s">
        <v>1034</v>
      </c>
      <c r="C14" s="98" t="s">
        <v>1035</v>
      </c>
      <c r="D14" s="371">
        <v>1</v>
      </c>
      <c r="E14" s="432">
        <v>45000</v>
      </c>
      <c r="F14" s="371">
        <v>0</v>
      </c>
      <c r="G14" s="432">
        <v>0</v>
      </c>
      <c r="H14" s="371">
        <v>1</v>
      </c>
      <c r="I14" s="98">
        <v>45000</v>
      </c>
      <c r="J14" s="371">
        <f t="shared" si="0"/>
        <v>2</v>
      </c>
      <c r="K14" s="98">
        <f t="shared" si="1"/>
        <v>90000</v>
      </c>
      <c r="L14" s="371" t="s">
        <v>1036</v>
      </c>
      <c r="M14" s="370" t="s">
        <v>1032</v>
      </c>
      <c r="N14" s="371">
        <v>1</v>
      </c>
      <c r="O14" s="432">
        <v>45000</v>
      </c>
      <c r="P14" s="371">
        <v>0</v>
      </c>
      <c r="Q14" s="432">
        <v>0</v>
      </c>
      <c r="R14" s="371">
        <v>3</v>
      </c>
      <c r="S14" s="98">
        <v>45000</v>
      </c>
      <c r="T14" s="371">
        <f t="shared" si="2"/>
        <v>4</v>
      </c>
      <c r="U14" s="98">
        <f t="shared" si="6"/>
        <v>180000</v>
      </c>
      <c r="V14" s="98"/>
      <c r="W14" s="98" t="s">
        <v>774</v>
      </c>
      <c r="X14" s="98" t="s">
        <v>1031</v>
      </c>
      <c r="Y14" s="371">
        <v>1</v>
      </c>
      <c r="Z14" s="432">
        <v>25000</v>
      </c>
      <c r="AA14" s="371">
        <v>0</v>
      </c>
      <c r="AB14" s="432">
        <v>0</v>
      </c>
      <c r="AC14" s="371">
        <v>0</v>
      </c>
      <c r="AD14" s="98">
        <v>0</v>
      </c>
      <c r="AE14" s="371">
        <f t="shared" si="3"/>
        <v>1</v>
      </c>
      <c r="AF14" s="98">
        <f t="shared" si="4"/>
        <v>25000</v>
      </c>
      <c r="AG14" s="9"/>
    </row>
    <row r="15" spans="1:33" ht="105" x14ac:dyDescent="0.25">
      <c r="A15" s="371">
        <f t="shared" si="5"/>
        <v>11</v>
      </c>
      <c r="B15" s="371" t="s">
        <v>1033</v>
      </c>
      <c r="C15" s="98" t="s">
        <v>1011</v>
      </c>
      <c r="D15" s="371">
        <v>1</v>
      </c>
      <c r="E15" s="432">
        <v>45000</v>
      </c>
      <c r="F15" s="371">
        <v>1</v>
      </c>
      <c r="G15" s="432">
        <v>45000</v>
      </c>
      <c r="H15" s="371">
        <v>1</v>
      </c>
      <c r="I15" s="432">
        <v>45000</v>
      </c>
      <c r="J15" s="371">
        <f>H15+F15+D15</f>
        <v>3</v>
      </c>
      <c r="K15" s="98">
        <f t="shared" si="1"/>
        <v>135000</v>
      </c>
      <c r="L15" s="371" t="s">
        <v>1023</v>
      </c>
      <c r="M15" s="370" t="s">
        <v>1037</v>
      </c>
      <c r="N15" s="371">
        <v>1</v>
      </c>
      <c r="O15" s="432">
        <v>45000</v>
      </c>
      <c r="P15" s="371">
        <v>1</v>
      </c>
      <c r="Q15" s="432">
        <v>45000</v>
      </c>
      <c r="R15" s="371">
        <v>0</v>
      </c>
      <c r="S15" s="98">
        <v>0</v>
      </c>
      <c r="T15" s="371">
        <f>R15+P15+N15</f>
        <v>2</v>
      </c>
      <c r="U15" s="98">
        <f t="shared" si="6"/>
        <v>90000</v>
      </c>
      <c r="V15" s="98"/>
      <c r="W15" s="371" t="s">
        <v>1034</v>
      </c>
      <c r="X15" s="98" t="s">
        <v>1038</v>
      </c>
      <c r="Y15" s="371">
        <v>1</v>
      </c>
      <c r="Z15" s="432">
        <v>45000</v>
      </c>
      <c r="AA15" s="371">
        <v>0</v>
      </c>
      <c r="AB15" s="432">
        <v>0</v>
      </c>
      <c r="AC15" s="371">
        <v>1</v>
      </c>
      <c r="AD15" s="432">
        <v>45000</v>
      </c>
      <c r="AE15" s="371">
        <f t="shared" si="3"/>
        <v>2</v>
      </c>
      <c r="AF15" s="98">
        <f t="shared" si="4"/>
        <v>90000</v>
      </c>
      <c r="AG15" s="9"/>
    </row>
    <row r="16" spans="1:33" ht="131.25" x14ac:dyDescent="0.25">
      <c r="A16" s="371">
        <f t="shared" si="5"/>
        <v>12</v>
      </c>
      <c r="B16" s="98" t="s">
        <v>1039</v>
      </c>
      <c r="C16" s="98" t="s">
        <v>1040</v>
      </c>
      <c r="D16" s="371">
        <v>1</v>
      </c>
      <c r="E16" s="432">
        <v>45000</v>
      </c>
      <c r="F16" s="371">
        <v>1</v>
      </c>
      <c r="G16" s="432">
        <v>45000</v>
      </c>
      <c r="H16" s="371">
        <v>2</v>
      </c>
      <c r="I16" s="98">
        <v>45000</v>
      </c>
      <c r="J16" s="371">
        <f t="shared" si="0"/>
        <v>4</v>
      </c>
      <c r="K16" s="98">
        <f t="shared" si="1"/>
        <v>180000</v>
      </c>
      <c r="L16" s="371" t="s">
        <v>1041</v>
      </c>
      <c r="M16" s="370" t="s">
        <v>1042</v>
      </c>
      <c r="N16" s="371">
        <v>1</v>
      </c>
      <c r="O16" s="432">
        <v>45000</v>
      </c>
      <c r="P16" s="371">
        <v>0</v>
      </c>
      <c r="Q16" s="432">
        <v>0</v>
      </c>
      <c r="R16" s="371">
        <v>2</v>
      </c>
      <c r="S16" s="98">
        <v>45000</v>
      </c>
      <c r="T16" s="371">
        <f t="shared" si="2"/>
        <v>3</v>
      </c>
      <c r="U16" s="98">
        <f t="shared" si="6"/>
        <v>135000</v>
      </c>
      <c r="V16" s="98"/>
      <c r="W16" s="98" t="s">
        <v>1039</v>
      </c>
      <c r="X16" s="98" t="s">
        <v>1043</v>
      </c>
      <c r="Y16" s="371">
        <v>1</v>
      </c>
      <c r="Z16" s="432">
        <v>45000</v>
      </c>
      <c r="AA16" s="371">
        <v>2</v>
      </c>
      <c r="AB16" s="432">
        <v>45000</v>
      </c>
      <c r="AC16" s="371">
        <v>1</v>
      </c>
      <c r="AD16" s="98">
        <v>45000</v>
      </c>
      <c r="AE16" s="371">
        <f t="shared" si="3"/>
        <v>4</v>
      </c>
      <c r="AF16" s="98">
        <f t="shared" si="4"/>
        <v>180000</v>
      </c>
      <c r="AG16" s="9"/>
    </row>
    <row r="17" spans="1:33" ht="78.75" x14ac:dyDescent="0.25">
      <c r="A17" s="371">
        <f t="shared" si="5"/>
        <v>13</v>
      </c>
      <c r="B17" s="371" t="s">
        <v>772</v>
      </c>
      <c r="C17" s="98" t="s">
        <v>1021</v>
      </c>
      <c r="D17" s="371">
        <v>1</v>
      </c>
      <c r="E17" s="432">
        <v>45000</v>
      </c>
      <c r="F17" s="371">
        <v>1</v>
      </c>
      <c r="G17" s="432">
        <v>45000</v>
      </c>
      <c r="H17" s="371">
        <v>1</v>
      </c>
      <c r="I17" s="98">
        <v>45000</v>
      </c>
      <c r="J17" s="371">
        <f>D17+F17+H17</f>
        <v>3</v>
      </c>
      <c r="K17" s="98">
        <f t="shared" si="1"/>
        <v>135000</v>
      </c>
      <c r="L17" s="371"/>
      <c r="M17" s="10"/>
      <c r="N17" s="371"/>
      <c r="O17" s="432"/>
      <c r="P17" s="371"/>
      <c r="Q17" s="432"/>
      <c r="R17" s="371"/>
      <c r="S17" s="98">
        <v>0</v>
      </c>
      <c r="T17" s="371">
        <f>N17+P17+R17</f>
        <v>0</v>
      </c>
      <c r="U17" s="98">
        <f>(N17*O17)+(P17*Q17)+(S17*R17)</f>
        <v>0</v>
      </c>
      <c r="V17" s="98"/>
      <c r="W17" s="371" t="s">
        <v>776</v>
      </c>
      <c r="X17" s="98" t="s">
        <v>1044</v>
      </c>
      <c r="Y17" s="371">
        <v>1</v>
      </c>
      <c r="Z17" s="432">
        <v>45000</v>
      </c>
      <c r="AA17" s="371">
        <v>0</v>
      </c>
      <c r="AB17" s="432">
        <v>0</v>
      </c>
      <c r="AC17" s="371">
        <v>2</v>
      </c>
      <c r="AD17" s="98">
        <v>45000</v>
      </c>
      <c r="AE17" s="371">
        <f t="shared" si="3"/>
        <v>3</v>
      </c>
      <c r="AF17" s="98">
        <f t="shared" si="4"/>
        <v>135000</v>
      </c>
      <c r="AG17" s="9"/>
    </row>
    <row r="18" spans="1:33" ht="78.75" x14ac:dyDescent="0.25">
      <c r="A18" s="371">
        <f t="shared" si="5"/>
        <v>14</v>
      </c>
      <c r="B18" s="371" t="s">
        <v>771</v>
      </c>
      <c r="C18" s="98" t="s">
        <v>1011</v>
      </c>
      <c r="D18" s="371">
        <v>1</v>
      </c>
      <c r="E18" s="432">
        <v>45000</v>
      </c>
      <c r="F18" s="371">
        <v>0</v>
      </c>
      <c r="G18" s="432">
        <v>0</v>
      </c>
      <c r="H18" s="371">
        <v>0</v>
      </c>
      <c r="I18" s="432">
        <v>0</v>
      </c>
      <c r="J18" s="371">
        <f t="shared" ref="J18:J26" si="7">D18+F18+H18</f>
        <v>1</v>
      </c>
      <c r="K18" s="98">
        <f t="shared" si="1"/>
        <v>45000</v>
      </c>
      <c r="L18" s="371"/>
      <c r="M18" s="10"/>
      <c r="N18" s="371"/>
      <c r="O18" s="432"/>
      <c r="P18" s="371"/>
      <c r="Q18" s="432"/>
      <c r="R18" s="371"/>
      <c r="S18" s="98">
        <v>0</v>
      </c>
      <c r="T18" s="371">
        <f t="shared" ref="T18:T26" si="8">N18+P18+R18</f>
        <v>0</v>
      </c>
      <c r="U18" s="98">
        <f t="shared" ref="U18:U26" si="9">(N18*O18)+(P18*Q18)+(S18*R18)</f>
        <v>0</v>
      </c>
      <c r="V18" s="98"/>
      <c r="W18" s="371" t="s">
        <v>1045</v>
      </c>
      <c r="X18" s="98" t="s">
        <v>1011</v>
      </c>
      <c r="Y18" s="371">
        <v>1</v>
      </c>
      <c r="Z18" s="432">
        <v>45000</v>
      </c>
      <c r="AA18" s="371">
        <v>1</v>
      </c>
      <c r="AB18" s="432">
        <v>45000</v>
      </c>
      <c r="AC18" s="371">
        <v>0</v>
      </c>
      <c r="AD18" s="432">
        <v>0</v>
      </c>
      <c r="AE18" s="371">
        <f t="shared" si="3"/>
        <v>2</v>
      </c>
      <c r="AF18" s="98">
        <f t="shared" si="4"/>
        <v>90000</v>
      </c>
      <c r="AG18" s="9"/>
    </row>
    <row r="19" spans="1:33" ht="78.75" x14ac:dyDescent="0.25">
      <c r="A19" s="371">
        <f t="shared" si="5"/>
        <v>15</v>
      </c>
      <c r="B19" s="371" t="s">
        <v>1045</v>
      </c>
      <c r="C19" s="98" t="s">
        <v>1011</v>
      </c>
      <c r="D19" s="371">
        <v>1</v>
      </c>
      <c r="E19" s="432">
        <v>45000</v>
      </c>
      <c r="F19" s="371">
        <v>1</v>
      </c>
      <c r="G19" s="432">
        <v>45000</v>
      </c>
      <c r="H19" s="371">
        <v>0</v>
      </c>
      <c r="I19" s="98">
        <v>0</v>
      </c>
      <c r="J19" s="371">
        <f t="shared" si="7"/>
        <v>2</v>
      </c>
      <c r="K19" s="98">
        <f t="shared" si="1"/>
        <v>90000</v>
      </c>
      <c r="L19" s="371"/>
      <c r="M19" s="10"/>
      <c r="N19" s="371"/>
      <c r="O19" s="432"/>
      <c r="P19" s="371"/>
      <c r="Q19" s="432"/>
      <c r="R19" s="371"/>
      <c r="S19" s="98">
        <v>0</v>
      </c>
      <c r="T19" s="371">
        <f t="shared" si="8"/>
        <v>0</v>
      </c>
      <c r="U19" s="98">
        <f t="shared" si="9"/>
        <v>0</v>
      </c>
      <c r="V19" s="98"/>
      <c r="W19" s="371" t="s">
        <v>771</v>
      </c>
      <c r="X19" s="98" t="s">
        <v>1046</v>
      </c>
      <c r="Y19" s="371">
        <v>1</v>
      </c>
      <c r="Z19" s="432">
        <v>45000</v>
      </c>
      <c r="AA19" s="371">
        <v>0</v>
      </c>
      <c r="AB19" s="432">
        <v>0</v>
      </c>
      <c r="AC19" s="371">
        <v>0</v>
      </c>
      <c r="AD19" s="98">
        <v>0</v>
      </c>
      <c r="AE19" s="371">
        <f t="shared" si="3"/>
        <v>1</v>
      </c>
      <c r="AF19" s="98">
        <f t="shared" si="4"/>
        <v>45000</v>
      </c>
      <c r="AG19" s="9"/>
    </row>
    <row r="20" spans="1:33" ht="78.75" x14ac:dyDescent="0.25">
      <c r="A20" s="371">
        <f t="shared" si="5"/>
        <v>16</v>
      </c>
      <c r="B20" s="371" t="s">
        <v>776</v>
      </c>
      <c r="C20" s="98" t="s">
        <v>1017</v>
      </c>
      <c r="D20" s="371">
        <v>1</v>
      </c>
      <c r="E20" s="432">
        <v>45000</v>
      </c>
      <c r="F20" s="371">
        <v>0</v>
      </c>
      <c r="G20" s="432">
        <v>0</v>
      </c>
      <c r="H20" s="371">
        <v>1</v>
      </c>
      <c r="I20" s="98">
        <v>45000</v>
      </c>
      <c r="J20" s="371">
        <f t="shared" si="7"/>
        <v>2</v>
      </c>
      <c r="K20" s="98">
        <f t="shared" si="1"/>
        <v>90000</v>
      </c>
      <c r="L20" s="371"/>
      <c r="M20" s="10"/>
      <c r="N20" s="371"/>
      <c r="O20" s="432"/>
      <c r="P20" s="371"/>
      <c r="Q20" s="432"/>
      <c r="R20" s="371"/>
      <c r="S20" s="98"/>
      <c r="T20" s="371">
        <f t="shared" si="8"/>
        <v>0</v>
      </c>
      <c r="U20" s="98">
        <f t="shared" si="9"/>
        <v>0</v>
      </c>
      <c r="V20" s="98"/>
      <c r="W20" s="371" t="s">
        <v>772</v>
      </c>
      <c r="X20" s="98" t="s">
        <v>1021</v>
      </c>
      <c r="Y20" s="371">
        <v>1</v>
      </c>
      <c r="Z20" s="432">
        <v>45000</v>
      </c>
      <c r="AA20" s="371">
        <v>1</v>
      </c>
      <c r="AB20" s="432">
        <v>45000</v>
      </c>
      <c r="AC20" s="371">
        <v>1</v>
      </c>
      <c r="AD20" s="98">
        <v>45000</v>
      </c>
      <c r="AE20" s="371">
        <f t="shared" si="3"/>
        <v>3</v>
      </c>
      <c r="AF20" s="98">
        <f t="shared" si="4"/>
        <v>135000</v>
      </c>
      <c r="AG20" s="9"/>
    </row>
    <row r="21" spans="1:33" ht="78.75" x14ac:dyDescent="0.25">
      <c r="A21" s="371">
        <f t="shared" si="5"/>
        <v>17</v>
      </c>
      <c r="B21" s="371" t="s">
        <v>776</v>
      </c>
      <c r="C21" s="98" t="s">
        <v>1011</v>
      </c>
      <c r="D21" s="371">
        <v>1</v>
      </c>
      <c r="E21" s="432">
        <v>45000</v>
      </c>
      <c r="F21" s="371">
        <v>0</v>
      </c>
      <c r="G21" s="432">
        <v>0</v>
      </c>
      <c r="H21" s="371">
        <v>3</v>
      </c>
      <c r="I21" s="98">
        <v>45000</v>
      </c>
      <c r="J21" s="371">
        <f t="shared" si="7"/>
        <v>4</v>
      </c>
      <c r="K21" s="98">
        <f t="shared" si="1"/>
        <v>180000</v>
      </c>
      <c r="L21" s="371"/>
      <c r="M21" s="10"/>
      <c r="N21" s="371"/>
      <c r="O21" s="432"/>
      <c r="P21" s="371"/>
      <c r="Q21" s="432"/>
      <c r="R21" s="371"/>
      <c r="S21" s="432"/>
      <c r="T21" s="371">
        <f t="shared" si="8"/>
        <v>0</v>
      </c>
      <c r="U21" s="98">
        <f t="shared" si="9"/>
        <v>0</v>
      </c>
      <c r="V21" s="98"/>
      <c r="W21" s="371" t="s">
        <v>776</v>
      </c>
      <c r="X21" s="98" t="s">
        <v>1029</v>
      </c>
      <c r="Y21" s="371">
        <v>1</v>
      </c>
      <c r="Z21" s="432">
        <v>45000</v>
      </c>
      <c r="AA21" s="371">
        <v>1</v>
      </c>
      <c r="AB21" s="432">
        <v>45000</v>
      </c>
      <c r="AC21" s="371">
        <v>2</v>
      </c>
      <c r="AD21" s="98">
        <v>45000</v>
      </c>
      <c r="AE21" s="371">
        <f t="shared" si="3"/>
        <v>4</v>
      </c>
      <c r="AF21" s="98">
        <f t="shared" si="4"/>
        <v>180000</v>
      </c>
      <c r="AG21" s="9"/>
    </row>
    <row r="22" spans="1:33" ht="78.75" x14ac:dyDescent="0.25">
      <c r="A22" s="371">
        <f t="shared" si="5"/>
        <v>18</v>
      </c>
      <c r="B22" s="371" t="s">
        <v>775</v>
      </c>
      <c r="C22" s="98" t="s">
        <v>1044</v>
      </c>
      <c r="D22" s="371">
        <v>1</v>
      </c>
      <c r="E22" s="432">
        <v>45000</v>
      </c>
      <c r="F22" s="371">
        <v>0</v>
      </c>
      <c r="G22" s="432">
        <v>0</v>
      </c>
      <c r="H22" s="371">
        <v>0</v>
      </c>
      <c r="I22" s="98">
        <v>0</v>
      </c>
      <c r="J22" s="371">
        <f t="shared" si="7"/>
        <v>1</v>
      </c>
      <c r="K22" s="98">
        <f t="shared" si="1"/>
        <v>45000</v>
      </c>
      <c r="L22" s="371"/>
      <c r="M22" s="10"/>
      <c r="N22" s="371"/>
      <c r="O22" s="432"/>
      <c r="P22" s="371"/>
      <c r="Q22" s="432"/>
      <c r="R22" s="371"/>
      <c r="S22" s="98"/>
      <c r="T22" s="371">
        <f t="shared" si="8"/>
        <v>0</v>
      </c>
      <c r="U22" s="98">
        <f t="shared" si="9"/>
        <v>0</v>
      </c>
      <c r="V22" s="98"/>
      <c r="W22" s="371" t="s">
        <v>775</v>
      </c>
      <c r="X22" s="98" t="s">
        <v>1047</v>
      </c>
      <c r="Y22" s="371">
        <v>1</v>
      </c>
      <c r="Z22" s="432">
        <v>45000</v>
      </c>
      <c r="AA22" s="371">
        <v>0</v>
      </c>
      <c r="AB22" s="432">
        <v>0</v>
      </c>
      <c r="AC22" s="371">
        <v>0</v>
      </c>
      <c r="AD22" s="98">
        <v>0</v>
      </c>
      <c r="AE22" s="371">
        <f t="shared" si="3"/>
        <v>1</v>
      </c>
      <c r="AF22" s="98">
        <f t="shared" si="4"/>
        <v>45000</v>
      </c>
      <c r="AG22" s="9"/>
    </row>
    <row r="23" spans="1:33" ht="131.25" x14ac:dyDescent="0.25">
      <c r="A23" s="371">
        <f t="shared" si="5"/>
        <v>19</v>
      </c>
      <c r="B23" s="371" t="s">
        <v>1023</v>
      </c>
      <c r="C23" s="98" t="s">
        <v>1017</v>
      </c>
      <c r="D23" s="371">
        <v>1</v>
      </c>
      <c r="E23" s="432">
        <v>45000</v>
      </c>
      <c r="F23" s="371">
        <v>0</v>
      </c>
      <c r="G23" s="432">
        <v>0</v>
      </c>
      <c r="H23" s="371">
        <v>0</v>
      </c>
      <c r="I23" s="98">
        <v>0</v>
      </c>
      <c r="J23" s="371">
        <f t="shared" si="7"/>
        <v>1</v>
      </c>
      <c r="K23" s="98">
        <f t="shared" si="1"/>
        <v>45000</v>
      </c>
      <c r="L23" s="371"/>
      <c r="M23" s="10"/>
      <c r="N23" s="371"/>
      <c r="O23" s="432"/>
      <c r="P23" s="371"/>
      <c r="Q23" s="432"/>
      <c r="R23" s="371"/>
      <c r="S23" s="432"/>
      <c r="T23" s="371">
        <f t="shared" si="8"/>
        <v>0</v>
      </c>
      <c r="U23" s="98">
        <f t="shared" si="9"/>
        <v>0</v>
      </c>
      <c r="V23" s="98"/>
      <c r="W23" s="371" t="s">
        <v>1023</v>
      </c>
      <c r="X23" s="98" t="s">
        <v>1015</v>
      </c>
      <c r="Y23" s="371">
        <v>1</v>
      </c>
      <c r="Z23" s="432">
        <v>45000</v>
      </c>
      <c r="AA23" s="371">
        <v>0</v>
      </c>
      <c r="AB23" s="432">
        <v>0</v>
      </c>
      <c r="AC23" s="371">
        <v>0</v>
      </c>
      <c r="AD23" s="98">
        <v>0</v>
      </c>
      <c r="AE23" s="371">
        <f t="shared" si="3"/>
        <v>1</v>
      </c>
      <c r="AF23" s="98">
        <f t="shared" si="4"/>
        <v>45000</v>
      </c>
      <c r="AG23" s="9"/>
    </row>
    <row r="24" spans="1:33" ht="78.75" x14ac:dyDescent="0.25">
      <c r="A24" s="371">
        <f t="shared" si="5"/>
        <v>20</v>
      </c>
      <c r="B24" s="371" t="s">
        <v>773</v>
      </c>
      <c r="C24" s="98" t="s">
        <v>1011</v>
      </c>
      <c r="D24" s="371">
        <v>1</v>
      </c>
      <c r="E24" s="432">
        <v>45000</v>
      </c>
      <c r="F24" s="371">
        <v>0</v>
      </c>
      <c r="G24" s="432">
        <v>0</v>
      </c>
      <c r="H24" s="371">
        <v>0</v>
      </c>
      <c r="I24" s="98">
        <v>0</v>
      </c>
      <c r="J24" s="371">
        <f t="shared" si="7"/>
        <v>1</v>
      </c>
      <c r="K24" s="98">
        <f t="shared" si="1"/>
        <v>45000</v>
      </c>
      <c r="L24" s="371"/>
      <c r="M24" s="10"/>
      <c r="N24" s="371"/>
      <c r="O24" s="432"/>
      <c r="P24" s="371"/>
      <c r="Q24" s="432"/>
      <c r="R24" s="371"/>
      <c r="S24" s="432"/>
      <c r="T24" s="371">
        <f t="shared" si="8"/>
        <v>0</v>
      </c>
      <c r="U24" s="98">
        <f t="shared" si="9"/>
        <v>0</v>
      </c>
      <c r="V24" s="98"/>
      <c r="W24" s="371" t="s">
        <v>773</v>
      </c>
      <c r="X24" s="98" t="s">
        <v>1011</v>
      </c>
      <c r="Y24" s="371">
        <v>1</v>
      </c>
      <c r="Z24" s="432">
        <v>45000</v>
      </c>
      <c r="AA24" s="371">
        <v>0</v>
      </c>
      <c r="AB24" s="432">
        <v>0</v>
      </c>
      <c r="AC24" s="371">
        <v>0</v>
      </c>
      <c r="AD24" s="98">
        <v>0</v>
      </c>
      <c r="AE24" s="371">
        <f t="shared" si="3"/>
        <v>1</v>
      </c>
      <c r="AF24" s="98">
        <f t="shared" si="4"/>
        <v>45000</v>
      </c>
      <c r="AG24" s="9"/>
    </row>
    <row r="25" spans="1:33" ht="78.75" x14ac:dyDescent="0.25">
      <c r="A25" s="371">
        <f t="shared" si="5"/>
        <v>21</v>
      </c>
      <c r="B25" s="371" t="s">
        <v>1048</v>
      </c>
      <c r="C25" s="98" t="s">
        <v>1021</v>
      </c>
      <c r="D25" s="371">
        <v>1</v>
      </c>
      <c r="E25" s="432">
        <v>45000</v>
      </c>
      <c r="F25" s="371">
        <v>1</v>
      </c>
      <c r="G25" s="432">
        <v>45000</v>
      </c>
      <c r="H25" s="371">
        <v>0</v>
      </c>
      <c r="I25" s="98">
        <v>0</v>
      </c>
      <c r="J25" s="371">
        <f t="shared" si="7"/>
        <v>2</v>
      </c>
      <c r="K25" s="98">
        <f t="shared" si="1"/>
        <v>90000</v>
      </c>
      <c r="L25" s="371"/>
      <c r="M25" s="10"/>
      <c r="N25" s="371"/>
      <c r="O25" s="432"/>
      <c r="P25" s="371"/>
      <c r="Q25" s="432"/>
      <c r="R25" s="371"/>
      <c r="S25" s="98"/>
      <c r="T25" s="371">
        <f t="shared" si="8"/>
        <v>0</v>
      </c>
      <c r="U25" s="98">
        <f t="shared" si="9"/>
        <v>0</v>
      </c>
      <c r="V25" s="98"/>
      <c r="W25" s="371" t="s">
        <v>1048</v>
      </c>
      <c r="X25" s="98" t="s">
        <v>1021</v>
      </c>
      <c r="Y25" s="371">
        <v>1</v>
      </c>
      <c r="Z25" s="432">
        <v>45000</v>
      </c>
      <c r="AA25" s="371">
        <v>1</v>
      </c>
      <c r="AB25" s="432">
        <v>45000</v>
      </c>
      <c r="AC25" s="371">
        <v>0</v>
      </c>
      <c r="AD25" s="98">
        <v>0</v>
      </c>
      <c r="AE25" s="371">
        <f t="shared" si="3"/>
        <v>2</v>
      </c>
      <c r="AF25" s="98">
        <f t="shared" si="4"/>
        <v>90000</v>
      </c>
      <c r="AG25" s="9"/>
    </row>
    <row r="26" spans="1:33" ht="78.75" x14ac:dyDescent="0.25">
      <c r="A26" s="371">
        <f t="shared" si="5"/>
        <v>22</v>
      </c>
      <c r="B26" s="371" t="s">
        <v>773</v>
      </c>
      <c r="C26" s="98" t="s">
        <v>1049</v>
      </c>
      <c r="D26" s="371">
        <v>1</v>
      </c>
      <c r="E26" s="432">
        <v>45000</v>
      </c>
      <c r="F26" s="371">
        <v>0</v>
      </c>
      <c r="G26" s="432">
        <v>0</v>
      </c>
      <c r="H26" s="371">
        <v>0</v>
      </c>
      <c r="I26" s="432">
        <v>0</v>
      </c>
      <c r="J26" s="371">
        <f t="shared" si="7"/>
        <v>1</v>
      </c>
      <c r="K26" s="98">
        <f t="shared" si="1"/>
        <v>45000</v>
      </c>
      <c r="L26" s="371"/>
      <c r="M26" s="10"/>
      <c r="N26" s="371"/>
      <c r="O26" s="432"/>
      <c r="P26" s="371"/>
      <c r="Q26" s="432"/>
      <c r="R26" s="371"/>
      <c r="S26" s="98"/>
      <c r="T26" s="371">
        <f t="shared" si="8"/>
        <v>0</v>
      </c>
      <c r="U26" s="98">
        <f t="shared" si="9"/>
        <v>0</v>
      </c>
      <c r="V26" s="98"/>
      <c r="W26" s="371" t="s">
        <v>773</v>
      </c>
      <c r="X26" s="98" t="s">
        <v>1050</v>
      </c>
      <c r="Y26" s="371">
        <v>1</v>
      </c>
      <c r="Z26" s="432">
        <v>45000</v>
      </c>
      <c r="AA26" s="371">
        <v>0</v>
      </c>
      <c r="AB26" s="432">
        <v>0</v>
      </c>
      <c r="AC26" s="371">
        <v>0</v>
      </c>
      <c r="AD26" s="432">
        <v>0</v>
      </c>
      <c r="AE26" s="371">
        <f t="shared" si="3"/>
        <v>1</v>
      </c>
      <c r="AF26" s="98">
        <f t="shared" si="4"/>
        <v>45000</v>
      </c>
      <c r="AG26" s="9"/>
    </row>
    <row r="27" spans="1:33" ht="26.25" hidden="1" x14ac:dyDescent="0.25">
      <c r="A27" s="371">
        <f t="shared" si="5"/>
        <v>23</v>
      </c>
      <c r="B27" s="371"/>
      <c r="C27" s="98"/>
      <c r="D27" s="371"/>
      <c r="E27" s="432"/>
      <c r="F27" s="371"/>
      <c r="G27" s="432"/>
      <c r="H27" s="371"/>
      <c r="I27" s="98"/>
      <c r="J27" s="371">
        <f>H27+F27+D27</f>
        <v>0</v>
      </c>
      <c r="K27" s="98">
        <f t="shared" si="1"/>
        <v>0</v>
      </c>
      <c r="L27" s="371"/>
      <c r="M27" s="10"/>
      <c r="N27" s="371"/>
      <c r="O27" s="432"/>
      <c r="P27" s="371"/>
      <c r="Q27" s="432"/>
      <c r="R27" s="371"/>
      <c r="S27" s="98"/>
      <c r="T27" s="371">
        <f>R27+P27+N27</f>
        <v>0</v>
      </c>
      <c r="U27" s="98">
        <f>Q27*P27+O27</f>
        <v>0</v>
      </c>
      <c r="V27" s="98"/>
      <c r="W27" s="371"/>
      <c r="X27" s="98"/>
      <c r="Y27" s="371"/>
      <c r="Z27" s="432"/>
      <c r="AA27" s="371"/>
      <c r="AB27" s="432"/>
      <c r="AC27" s="371"/>
      <c r="AD27" s="98"/>
      <c r="AE27" s="371">
        <f t="shared" si="3"/>
        <v>0</v>
      </c>
      <c r="AF27" s="98">
        <f t="shared" si="4"/>
        <v>0</v>
      </c>
      <c r="AG27" s="9"/>
    </row>
    <row r="28" spans="1:33" ht="26.25" hidden="1" x14ac:dyDescent="0.25">
      <c r="A28" s="371">
        <f t="shared" si="5"/>
        <v>24</v>
      </c>
      <c r="B28" s="371"/>
      <c r="C28" s="98"/>
      <c r="D28" s="371"/>
      <c r="E28" s="432"/>
      <c r="F28" s="371"/>
      <c r="G28" s="432"/>
      <c r="H28" s="371"/>
      <c r="I28" s="432"/>
      <c r="J28" s="371">
        <f>H28+F28+D28</f>
        <v>0</v>
      </c>
      <c r="K28" s="98">
        <f t="shared" si="1"/>
        <v>0</v>
      </c>
      <c r="L28" s="371"/>
      <c r="M28" s="10"/>
      <c r="N28" s="371"/>
      <c r="O28" s="432"/>
      <c r="P28" s="371"/>
      <c r="Q28" s="432"/>
      <c r="R28" s="371"/>
      <c r="S28" s="98"/>
      <c r="T28" s="371">
        <f>R28+P28+N28</f>
        <v>0</v>
      </c>
      <c r="U28" s="98">
        <f>S28*R28+Q28*P28+O28*N28</f>
        <v>0</v>
      </c>
      <c r="V28" s="98"/>
      <c r="W28" s="371"/>
      <c r="X28" s="98"/>
      <c r="Y28" s="371"/>
      <c r="Z28" s="432"/>
      <c r="AA28" s="371"/>
      <c r="AB28" s="432"/>
      <c r="AC28" s="371"/>
      <c r="AD28" s="432"/>
      <c r="AE28" s="371">
        <f t="shared" si="3"/>
        <v>0</v>
      </c>
      <c r="AF28" s="98">
        <f t="shared" si="4"/>
        <v>0</v>
      </c>
      <c r="AG28" s="9"/>
    </row>
    <row r="29" spans="1:33" ht="26.25" hidden="1" x14ac:dyDescent="0.25">
      <c r="A29" s="371">
        <f t="shared" si="5"/>
        <v>25</v>
      </c>
      <c r="B29" s="98"/>
      <c r="C29" s="98"/>
      <c r="D29" s="371"/>
      <c r="E29" s="432"/>
      <c r="F29" s="371"/>
      <c r="G29" s="432"/>
      <c r="H29" s="371"/>
      <c r="I29" s="98"/>
      <c r="J29" s="371">
        <f t="shared" ref="J29:J34" si="10">H29+F29+D29</f>
        <v>0</v>
      </c>
      <c r="K29" s="98">
        <f t="shared" si="1"/>
        <v>0</v>
      </c>
      <c r="L29" s="10"/>
      <c r="M29" s="10"/>
      <c r="N29" s="10"/>
      <c r="O29" s="10"/>
      <c r="P29" s="10"/>
      <c r="Q29" s="10"/>
      <c r="R29" s="10"/>
      <c r="S29" s="10"/>
      <c r="T29" s="371">
        <f t="shared" ref="T29:T33" si="11">R29+P29+N29</f>
        <v>0</v>
      </c>
      <c r="U29" s="98">
        <f t="shared" ref="U29:U34" si="12">S29*R29+Q29*P29+O29*N29</f>
        <v>0</v>
      </c>
      <c r="V29" s="98"/>
      <c r="W29" s="98"/>
      <c r="X29" s="98"/>
      <c r="Y29" s="371"/>
      <c r="Z29" s="432"/>
      <c r="AA29" s="371"/>
      <c r="AB29" s="432"/>
      <c r="AC29" s="371"/>
      <c r="AD29" s="98"/>
      <c r="AE29" s="371">
        <f t="shared" si="3"/>
        <v>0</v>
      </c>
      <c r="AF29" s="98">
        <f t="shared" si="4"/>
        <v>0</v>
      </c>
      <c r="AG29" s="9"/>
    </row>
    <row r="30" spans="1:33" ht="26.25" hidden="1" x14ac:dyDescent="0.25">
      <c r="A30" s="371">
        <f t="shared" si="5"/>
        <v>26</v>
      </c>
      <c r="B30" s="98"/>
      <c r="C30" s="98"/>
      <c r="D30" s="371"/>
      <c r="E30" s="432"/>
      <c r="F30" s="371"/>
      <c r="G30" s="432"/>
      <c r="H30" s="371"/>
      <c r="I30" s="98"/>
      <c r="J30" s="371">
        <f t="shared" si="10"/>
        <v>0</v>
      </c>
      <c r="K30" s="98">
        <f t="shared" si="1"/>
        <v>0</v>
      </c>
      <c r="L30" s="10"/>
      <c r="M30" s="10"/>
      <c r="N30" s="10"/>
      <c r="O30" s="10"/>
      <c r="P30" s="10"/>
      <c r="Q30" s="10"/>
      <c r="R30" s="10"/>
      <c r="S30" s="10"/>
      <c r="T30" s="371">
        <f t="shared" si="11"/>
        <v>0</v>
      </c>
      <c r="U30" s="98">
        <f t="shared" si="12"/>
        <v>0</v>
      </c>
      <c r="V30" s="98"/>
      <c r="W30" s="98"/>
      <c r="X30" s="98"/>
      <c r="Y30" s="371"/>
      <c r="Z30" s="432"/>
      <c r="AA30" s="371"/>
      <c r="AB30" s="432"/>
      <c r="AC30" s="371"/>
      <c r="AD30" s="98"/>
      <c r="AE30" s="371">
        <f t="shared" si="3"/>
        <v>0</v>
      </c>
      <c r="AF30" s="98">
        <f t="shared" si="4"/>
        <v>0</v>
      </c>
      <c r="AG30" s="9"/>
    </row>
    <row r="31" spans="1:33" ht="26.25" hidden="1" x14ac:dyDescent="0.25">
      <c r="A31" s="371">
        <f t="shared" si="5"/>
        <v>27</v>
      </c>
      <c r="B31" s="98"/>
      <c r="C31" s="98"/>
      <c r="D31" s="371"/>
      <c r="E31" s="432"/>
      <c r="F31" s="371"/>
      <c r="G31" s="432"/>
      <c r="H31" s="371"/>
      <c r="I31" s="98"/>
      <c r="J31" s="371">
        <f t="shared" si="10"/>
        <v>0</v>
      </c>
      <c r="K31" s="98">
        <f t="shared" si="1"/>
        <v>0</v>
      </c>
      <c r="L31" s="10"/>
      <c r="M31" s="10"/>
      <c r="N31" s="10"/>
      <c r="O31" s="10"/>
      <c r="P31" s="10"/>
      <c r="Q31" s="10"/>
      <c r="R31" s="10"/>
      <c r="S31" s="10"/>
      <c r="T31" s="371">
        <f t="shared" si="11"/>
        <v>0</v>
      </c>
      <c r="U31" s="98">
        <f t="shared" si="12"/>
        <v>0</v>
      </c>
      <c r="V31" s="98"/>
      <c r="W31" s="98"/>
      <c r="X31" s="98"/>
      <c r="Y31" s="371"/>
      <c r="Z31" s="432"/>
      <c r="AA31" s="371"/>
      <c r="AB31" s="432"/>
      <c r="AC31" s="371"/>
      <c r="AD31" s="98"/>
      <c r="AE31" s="371">
        <f t="shared" si="3"/>
        <v>0</v>
      </c>
      <c r="AF31" s="98">
        <f t="shared" si="4"/>
        <v>0</v>
      </c>
      <c r="AG31" s="9"/>
    </row>
    <row r="32" spans="1:33" ht="26.25" hidden="1" x14ac:dyDescent="0.25">
      <c r="A32" s="371">
        <f t="shared" si="5"/>
        <v>28</v>
      </c>
      <c r="B32" s="98"/>
      <c r="C32" s="98"/>
      <c r="D32" s="371"/>
      <c r="E32" s="432"/>
      <c r="F32" s="371"/>
      <c r="G32" s="432"/>
      <c r="H32" s="371"/>
      <c r="I32" s="98"/>
      <c r="J32" s="371">
        <f t="shared" si="10"/>
        <v>0</v>
      </c>
      <c r="K32" s="98">
        <f t="shared" si="1"/>
        <v>0</v>
      </c>
      <c r="L32" s="10"/>
      <c r="M32" s="10"/>
      <c r="N32" s="10"/>
      <c r="O32" s="10"/>
      <c r="P32" s="10"/>
      <c r="Q32" s="10"/>
      <c r="R32" s="10"/>
      <c r="S32" s="10"/>
      <c r="T32" s="371">
        <f t="shared" si="11"/>
        <v>0</v>
      </c>
      <c r="U32" s="98">
        <f t="shared" si="12"/>
        <v>0</v>
      </c>
      <c r="V32" s="98"/>
      <c r="W32" s="98"/>
      <c r="X32" s="98"/>
      <c r="Y32" s="371"/>
      <c r="Z32" s="432"/>
      <c r="AA32" s="371"/>
      <c r="AB32" s="432"/>
      <c r="AC32" s="371"/>
      <c r="AD32" s="98"/>
      <c r="AE32" s="371">
        <f t="shared" si="3"/>
        <v>0</v>
      </c>
      <c r="AF32" s="98">
        <f t="shared" si="4"/>
        <v>0</v>
      </c>
      <c r="AG32" s="9"/>
    </row>
    <row r="33" spans="1:33" ht="26.25" hidden="1" x14ac:dyDescent="0.25">
      <c r="A33" s="371">
        <f t="shared" si="5"/>
        <v>29</v>
      </c>
      <c r="B33" s="98"/>
      <c r="C33" s="98"/>
      <c r="D33" s="371"/>
      <c r="E33" s="432"/>
      <c r="F33" s="371"/>
      <c r="G33" s="432"/>
      <c r="H33" s="371"/>
      <c r="I33" s="98"/>
      <c r="J33" s="371">
        <f t="shared" si="10"/>
        <v>0</v>
      </c>
      <c r="K33" s="98">
        <f t="shared" si="1"/>
        <v>0</v>
      </c>
      <c r="L33" s="10"/>
      <c r="M33" s="10"/>
      <c r="N33" s="10"/>
      <c r="O33" s="10"/>
      <c r="P33" s="10"/>
      <c r="Q33" s="10"/>
      <c r="R33" s="10"/>
      <c r="S33" s="10"/>
      <c r="T33" s="371">
        <f t="shared" si="11"/>
        <v>0</v>
      </c>
      <c r="U33" s="98">
        <f t="shared" si="12"/>
        <v>0</v>
      </c>
      <c r="V33" s="98"/>
      <c r="W33" s="98"/>
      <c r="X33" s="98"/>
      <c r="Y33" s="371"/>
      <c r="Z33" s="432"/>
      <c r="AA33" s="371"/>
      <c r="AB33" s="432"/>
      <c r="AC33" s="371"/>
      <c r="AD33" s="98"/>
      <c r="AE33" s="371">
        <f t="shared" si="3"/>
        <v>0</v>
      </c>
      <c r="AF33" s="98">
        <f t="shared" si="4"/>
        <v>0</v>
      </c>
      <c r="AG33" s="9"/>
    </row>
    <row r="34" spans="1:33" ht="26.25" hidden="1" x14ac:dyDescent="0.25">
      <c r="A34" s="371">
        <f t="shared" si="5"/>
        <v>30</v>
      </c>
      <c r="B34" s="98"/>
      <c r="C34" s="98"/>
      <c r="D34" s="371"/>
      <c r="E34" s="432"/>
      <c r="F34" s="371"/>
      <c r="G34" s="432"/>
      <c r="H34" s="371"/>
      <c r="I34" s="98"/>
      <c r="J34" s="371">
        <f t="shared" si="10"/>
        <v>0</v>
      </c>
      <c r="K34" s="98">
        <f t="shared" si="1"/>
        <v>0</v>
      </c>
      <c r="L34" s="10"/>
      <c r="M34" s="10"/>
      <c r="N34" s="10"/>
      <c r="O34" s="10"/>
      <c r="P34" s="10"/>
      <c r="Q34" s="10"/>
      <c r="R34" s="10"/>
      <c r="S34" s="10"/>
      <c r="T34" s="371">
        <f t="shared" ref="T34:T38" si="13">N34+P34+R34</f>
        <v>0</v>
      </c>
      <c r="U34" s="98">
        <f t="shared" si="12"/>
        <v>0</v>
      </c>
      <c r="V34" s="98"/>
      <c r="W34" s="98"/>
      <c r="X34" s="98"/>
      <c r="Y34" s="371"/>
      <c r="Z34" s="432"/>
      <c r="AA34" s="371"/>
      <c r="AB34" s="432"/>
      <c r="AC34" s="371"/>
      <c r="AD34" s="98"/>
      <c r="AE34" s="371">
        <f t="shared" si="3"/>
        <v>0</v>
      </c>
      <c r="AF34" s="98">
        <f t="shared" si="4"/>
        <v>0</v>
      </c>
      <c r="AG34" s="9"/>
    </row>
    <row r="35" spans="1:33" ht="26.25" hidden="1" x14ac:dyDescent="0.25">
      <c r="A35" s="371">
        <f t="shared" si="5"/>
        <v>31</v>
      </c>
      <c r="B35" s="98"/>
      <c r="C35" s="98"/>
      <c r="D35" s="371"/>
      <c r="E35" s="432"/>
      <c r="F35" s="371"/>
      <c r="G35" s="432"/>
      <c r="H35" s="371"/>
      <c r="I35" s="98"/>
      <c r="J35" s="371">
        <f t="shared" ref="J35:J38" si="14">D35+F35+H35</f>
        <v>0</v>
      </c>
      <c r="K35" s="98">
        <f t="shared" si="1"/>
        <v>0</v>
      </c>
      <c r="L35" s="10"/>
      <c r="M35" s="10"/>
      <c r="N35" s="10"/>
      <c r="O35" s="10"/>
      <c r="P35" s="10"/>
      <c r="Q35" s="10"/>
      <c r="R35" s="10"/>
      <c r="S35" s="10"/>
      <c r="T35" s="371">
        <f t="shared" si="13"/>
        <v>0</v>
      </c>
      <c r="U35" s="98">
        <f t="shared" si="6"/>
        <v>0</v>
      </c>
      <c r="V35" s="98"/>
      <c r="W35" s="98"/>
      <c r="X35" s="98"/>
      <c r="Y35" s="371"/>
      <c r="Z35" s="432"/>
      <c r="AA35" s="371"/>
      <c r="AB35" s="432"/>
      <c r="AC35" s="371"/>
      <c r="AD35" s="98"/>
      <c r="AE35" s="371">
        <f t="shared" si="3"/>
        <v>0</v>
      </c>
      <c r="AF35" s="98">
        <f t="shared" si="4"/>
        <v>0</v>
      </c>
      <c r="AG35" s="9"/>
    </row>
    <row r="36" spans="1:33" ht="26.25" hidden="1" x14ac:dyDescent="0.25">
      <c r="A36" s="371">
        <f t="shared" si="5"/>
        <v>32</v>
      </c>
      <c r="B36" s="98"/>
      <c r="C36" s="98"/>
      <c r="D36" s="371"/>
      <c r="E36" s="432"/>
      <c r="F36" s="371"/>
      <c r="G36" s="432"/>
      <c r="H36" s="371"/>
      <c r="I36" s="98"/>
      <c r="J36" s="371">
        <f t="shared" si="14"/>
        <v>0</v>
      </c>
      <c r="K36" s="98">
        <f t="shared" si="1"/>
        <v>0</v>
      </c>
      <c r="L36" s="10"/>
      <c r="M36" s="10"/>
      <c r="N36" s="10"/>
      <c r="O36" s="10"/>
      <c r="P36" s="10"/>
      <c r="Q36" s="10"/>
      <c r="R36" s="10"/>
      <c r="S36" s="10"/>
      <c r="T36" s="371">
        <f t="shared" si="13"/>
        <v>0</v>
      </c>
      <c r="U36" s="98">
        <f t="shared" si="6"/>
        <v>0</v>
      </c>
      <c r="V36" s="98"/>
      <c r="W36" s="98"/>
      <c r="X36" s="98"/>
      <c r="Y36" s="371"/>
      <c r="Z36" s="432"/>
      <c r="AA36" s="371"/>
      <c r="AB36" s="432"/>
      <c r="AC36" s="371"/>
      <c r="AD36" s="98"/>
      <c r="AE36" s="371">
        <f t="shared" si="3"/>
        <v>0</v>
      </c>
      <c r="AF36" s="98">
        <f t="shared" si="4"/>
        <v>0</v>
      </c>
      <c r="AG36" s="9"/>
    </row>
    <row r="37" spans="1:33" ht="26.25" hidden="1" x14ac:dyDescent="0.25">
      <c r="A37" s="371">
        <f t="shared" si="5"/>
        <v>33</v>
      </c>
      <c r="B37" s="98"/>
      <c r="C37" s="98"/>
      <c r="D37" s="371"/>
      <c r="E37" s="98"/>
      <c r="F37" s="371"/>
      <c r="G37" s="432"/>
      <c r="H37" s="371"/>
      <c r="I37" s="98"/>
      <c r="J37" s="371">
        <f t="shared" si="14"/>
        <v>0</v>
      </c>
      <c r="K37" s="98">
        <f t="shared" si="1"/>
        <v>0</v>
      </c>
      <c r="L37" s="10"/>
      <c r="M37" s="10"/>
      <c r="N37" s="10"/>
      <c r="O37" s="10"/>
      <c r="P37" s="10"/>
      <c r="Q37" s="10"/>
      <c r="R37" s="10"/>
      <c r="S37" s="10"/>
      <c r="T37" s="371">
        <f t="shared" si="13"/>
        <v>0</v>
      </c>
      <c r="U37" s="98">
        <f t="shared" si="6"/>
        <v>0</v>
      </c>
      <c r="V37" s="98"/>
      <c r="W37" s="98"/>
      <c r="X37" s="98"/>
      <c r="Y37" s="371"/>
      <c r="Z37" s="98"/>
      <c r="AA37" s="371"/>
      <c r="AB37" s="432"/>
      <c r="AC37" s="371"/>
      <c r="AD37" s="98"/>
      <c r="AE37" s="371">
        <f t="shared" si="3"/>
        <v>0</v>
      </c>
      <c r="AF37" s="98">
        <f t="shared" si="4"/>
        <v>0</v>
      </c>
      <c r="AG37" s="9"/>
    </row>
    <row r="38" spans="1:33" ht="26.25" hidden="1" x14ac:dyDescent="0.25">
      <c r="A38" s="371">
        <f t="shared" si="5"/>
        <v>34</v>
      </c>
      <c r="B38" s="98"/>
      <c r="C38" s="98"/>
      <c r="D38" s="371"/>
      <c r="E38" s="432"/>
      <c r="F38" s="371"/>
      <c r="G38" s="432"/>
      <c r="H38" s="371"/>
      <c r="I38" s="432"/>
      <c r="J38" s="371">
        <f t="shared" si="14"/>
        <v>0</v>
      </c>
      <c r="K38" s="98">
        <f t="shared" si="1"/>
        <v>0</v>
      </c>
      <c r="L38" s="10"/>
      <c r="M38" s="10"/>
      <c r="N38" s="10"/>
      <c r="O38" s="10"/>
      <c r="P38" s="10"/>
      <c r="Q38" s="10"/>
      <c r="R38" s="10"/>
      <c r="S38" s="10"/>
      <c r="T38" s="371">
        <f t="shared" si="13"/>
        <v>0</v>
      </c>
      <c r="U38" s="98">
        <f>(N38*O38)+(P38*Q38)+(S38*R38)</f>
        <v>0</v>
      </c>
      <c r="V38" s="98"/>
      <c r="W38" s="98"/>
      <c r="X38" s="98"/>
      <c r="Y38" s="371"/>
      <c r="Z38" s="432"/>
      <c r="AA38" s="371"/>
      <c r="AB38" s="432"/>
      <c r="AC38" s="371"/>
      <c r="AD38" s="432"/>
      <c r="AE38" s="371">
        <f t="shared" si="3"/>
        <v>0</v>
      </c>
      <c r="AF38" s="98">
        <f t="shared" si="4"/>
        <v>0</v>
      </c>
      <c r="AG38" s="9"/>
    </row>
    <row r="39" spans="1:33" s="13" customFormat="1" ht="25.5" x14ac:dyDescent="0.25">
      <c r="A39" s="11"/>
      <c r="B39" s="11"/>
      <c r="C39" s="11"/>
      <c r="D39" s="11">
        <f t="shared" ref="D39:T39" si="15">SUM(D5:D38)</f>
        <v>22</v>
      </c>
      <c r="E39" s="348">
        <f t="shared" si="15"/>
        <v>961000</v>
      </c>
      <c r="F39" s="11">
        <f t="shared" si="15"/>
        <v>6</v>
      </c>
      <c r="G39" s="348">
        <f t="shared" si="15"/>
        <v>257000</v>
      </c>
      <c r="H39" s="11">
        <f t="shared" si="15"/>
        <v>11</v>
      </c>
      <c r="I39" s="348">
        <f t="shared" si="15"/>
        <v>347000</v>
      </c>
      <c r="J39" s="11">
        <f t="shared" si="15"/>
        <v>39</v>
      </c>
      <c r="K39" s="348">
        <f t="shared" si="15"/>
        <v>1700000</v>
      </c>
      <c r="L39" s="348"/>
      <c r="M39" s="348"/>
      <c r="N39" s="11">
        <f t="shared" si="15"/>
        <v>12</v>
      </c>
      <c r="O39" s="348">
        <f>SUM(O2:O38)</f>
        <v>525000</v>
      </c>
      <c r="P39" s="11">
        <f t="shared" si="15"/>
        <v>4</v>
      </c>
      <c r="Q39" s="348">
        <f t="shared" si="15"/>
        <v>180000</v>
      </c>
      <c r="R39" s="11">
        <f t="shared" si="15"/>
        <v>12</v>
      </c>
      <c r="S39" s="348">
        <f t="shared" si="15"/>
        <v>360000</v>
      </c>
      <c r="T39" s="11">
        <f t="shared" si="15"/>
        <v>28</v>
      </c>
      <c r="U39" s="348">
        <f>SUM(U5:U38)</f>
        <v>1245000</v>
      </c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8">
        <f>SUM(AF5:AF38)</f>
        <v>1745000</v>
      </c>
      <c r="AG39" s="12"/>
    </row>
    <row r="40" spans="1:33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33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33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33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33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33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33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33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33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2:2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2:2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2:2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2:2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2:2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2:2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2:2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2:2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2:21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2:2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</sheetData>
  <mergeCells count="27">
    <mergeCell ref="B1:K1"/>
    <mergeCell ref="A2:A4"/>
    <mergeCell ref="B2:B4"/>
    <mergeCell ref="C2:C4"/>
    <mergeCell ref="D2:K2"/>
    <mergeCell ref="AE3:AE4"/>
    <mergeCell ref="L2:L4"/>
    <mergeCell ref="M2:M4"/>
    <mergeCell ref="N2:U2"/>
    <mergeCell ref="V2:V4"/>
    <mergeCell ref="W2:W4"/>
    <mergeCell ref="AF3:AF4"/>
    <mergeCell ref="X2:X4"/>
    <mergeCell ref="Y2:AF2"/>
    <mergeCell ref="D3:D4"/>
    <mergeCell ref="E3:E4"/>
    <mergeCell ref="F3:I3"/>
    <mergeCell ref="J3:J4"/>
    <mergeCell ref="K3:K4"/>
    <mergeCell ref="N3:N4"/>
    <mergeCell ref="O3:O4"/>
    <mergeCell ref="P3:S3"/>
    <mergeCell ref="T3:T4"/>
    <mergeCell ref="U3:U4"/>
    <mergeCell ref="Y3:Y4"/>
    <mergeCell ref="Z3:Z4"/>
    <mergeCell ref="AA3:AD3"/>
  </mergeCells>
  <pageMargins left="0.7" right="0.7" top="0.75" bottom="0.75" header="0.3" footer="0.3"/>
  <pageSetup paperSize="9" scale="16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view="pageBreakPreview" zoomScaleSheetLayoutView="100" workbookViewId="0">
      <selection activeCell="G29" sqref="G29"/>
    </sheetView>
  </sheetViews>
  <sheetFormatPr defaultRowHeight="15" x14ac:dyDescent="0.25"/>
  <cols>
    <col min="1" max="1" width="22.5703125" customWidth="1"/>
    <col min="2" max="2" width="10" customWidth="1"/>
    <col min="3" max="3" width="12" customWidth="1"/>
    <col min="4" max="4" width="10.140625" bestFit="1" customWidth="1"/>
    <col min="5" max="5" width="11.5703125" bestFit="1" customWidth="1"/>
    <col min="6" max="6" width="6.5703125" bestFit="1" customWidth="1"/>
    <col min="7" max="7" width="8" bestFit="1" customWidth="1"/>
    <col min="8" max="8" width="10.140625" bestFit="1" customWidth="1"/>
    <col min="9" max="11" width="13.7109375" bestFit="1" customWidth="1"/>
    <col min="12" max="12" width="12.5703125" customWidth="1"/>
    <col min="13" max="13" width="16.140625" customWidth="1"/>
  </cols>
  <sheetData>
    <row r="3" spans="1:21" x14ac:dyDescent="0.25">
      <c r="A3" s="648" t="s">
        <v>131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2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21" s="102" customFormat="1" x14ac:dyDescent="0.25">
      <c r="A5" s="598"/>
      <c r="B5" s="646" t="s">
        <v>778</v>
      </c>
      <c r="C5" s="646"/>
      <c r="D5" s="646"/>
      <c r="E5" s="646"/>
      <c r="F5" s="646" t="s">
        <v>779</v>
      </c>
      <c r="G5" s="646"/>
      <c r="H5" s="646"/>
      <c r="I5" s="646"/>
      <c r="J5" s="646" t="s">
        <v>780</v>
      </c>
      <c r="K5" s="646"/>
      <c r="L5" s="646"/>
      <c r="M5" s="646"/>
      <c r="N5" s="646" t="s">
        <v>781</v>
      </c>
      <c r="O5" s="646"/>
      <c r="P5" s="646"/>
      <c r="Q5" s="646"/>
      <c r="R5" s="646" t="s">
        <v>782</v>
      </c>
      <c r="S5" s="646"/>
      <c r="T5" s="646"/>
      <c r="U5" s="646"/>
    </row>
    <row r="6" spans="1:21" s="102" customFormat="1" ht="25.5" x14ac:dyDescent="0.25">
      <c r="A6" s="599"/>
      <c r="B6" s="334" t="s">
        <v>63</v>
      </c>
      <c r="C6" s="27" t="s">
        <v>64</v>
      </c>
      <c r="D6" s="28" t="s">
        <v>59</v>
      </c>
      <c r="E6" s="334" t="s">
        <v>60</v>
      </c>
      <c r="F6" s="334" t="s">
        <v>63</v>
      </c>
      <c r="G6" s="27" t="s">
        <v>64</v>
      </c>
      <c r="H6" s="28" t="s">
        <v>59</v>
      </c>
      <c r="I6" s="334" t="s">
        <v>60</v>
      </c>
      <c r="J6" s="334" t="s">
        <v>63</v>
      </c>
      <c r="K6" s="27" t="s">
        <v>64</v>
      </c>
      <c r="L6" s="28" t="s">
        <v>59</v>
      </c>
      <c r="M6" s="334" t="s">
        <v>60</v>
      </c>
      <c r="N6" s="334" t="s">
        <v>63</v>
      </c>
      <c r="O6" s="27" t="s">
        <v>64</v>
      </c>
      <c r="P6" s="28" t="s">
        <v>59</v>
      </c>
      <c r="Q6" s="334" t="s">
        <v>60</v>
      </c>
      <c r="R6" s="334" t="s">
        <v>63</v>
      </c>
      <c r="S6" s="27" t="s">
        <v>64</v>
      </c>
      <c r="T6" s="28" t="s">
        <v>59</v>
      </c>
      <c r="U6" s="334" t="s">
        <v>60</v>
      </c>
    </row>
    <row r="7" spans="1:21" s="102" customFormat="1" x14ac:dyDescent="0.25">
      <c r="A7" s="366" t="s">
        <v>784</v>
      </c>
      <c r="B7" s="100" t="s">
        <v>132</v>
      </c>
      <c r="C7" s="320">
        <v>192650</v>
      </c>
      <c r="D7" s="434">
        <v>6.36</v>
      </c>
      <c r="E7" s="55">
        <f t="shared" ref="E7:E10" si="0">C7*D7</f>
        <v>1225254</v>
      </c>
      <c r="F7" s="100" t="s">
        <v>133</v>
      </c>
      <c r="G7" s="435">
        <v>479.76900000000001</v>
      </c>
      <c r="H7" s="320">
        <v>16878.87</v>
      </c>
      <c r="I7" s="55">
        <f>G7*H7</f>
        <v>8097958.58103</v>
      </c>
      <c r="J7" s="100" t="s">
        <v>134</v>
      </c>
      <c r="K7" s="27"/>
      <c r="L7" s="28"/>
      <c r="M7" s="372"/>
      <c r="N7" s="100" t="s">
        <v>133</v>
      </c>
      <c r="O7" s="27"/>
      <c r="P7" s="28"/>
      <c r="Q7" s="372"/>
      <c r="R7" s="100" t="s">
        <v>783</v>
      </c>
      <c r="S7" s="27"/>
      <c r="T7" s="28"/>
      <c r="U7" s="372"/>
    </row>
    <row r="8" spans="1:21" s="102" customFormat="1" x14ac:dyDescent="0.25">
      <c r="A8" s="366" t="s">
        <v>785</v>
      </c>
      <c r="B8" s="100" t="s">
        <v>132</v>
      </c>
      <c r="C8" s="101">
        <v>151260</v>
      </c>
      <c r="D8" s="101">
        <v>6.56</v>
      </c>
      <c r="E8" s="55">
        <f t="shared" si="0"/>
        <v>992265.6</v>
      </c>
      <c r="F8" s="100" t="s">
        <v>133</v>
      </c>
      <c r="G8" s="100">
        <v>431.89832000000001</v>
      </c>
      <c r="H8" s="55">
        <v>17146.28</v>
      </c>
      <c r="I8" s="55">
        <f t="shared" ref="I8:I9" si="1">G8*H8</f>
        <v>7405449.5262495996</v>
      </c>
      <c r="J8" s="100" t="s">
        <v>134</v>
      </c>
      <c r="K8" s="100">
        <v>0</v>
      </c>
      <c r="L8" s="101"/>
      <c r="M8" s="55">
        <f t="shared" ref="M8:M10" si="2">K8*L8</f>
        <v>0</v>
      </c>
      <c r="N8" s="100" t="s">
        <v>133</v>
      </c>
      <c r="O8" s="100">
        <v>0</v>
      </c>
      <c r="P8" s="101"/>
      <c r="Q8" s="101"/>
      <c r="R8" s="100" t="s">
        <v>783</v>
      </c>
      <c r="S8" s="350"/>
      <c r="T8" s="101"/>
      <c r="U8" s="55">
        <f t="shared" ref="U8:U10" si="3">S8*T8</f>
        <v>0</v>
      </c>
    </row>
    <row r="9" spans="1:21" s="102" customFormat="1" x14ac:dyDescent="0.25">
      <c r="A9" s="100" t="s">
        <v>3</v>
      </c>
      <c r="B9" s="100" t="s">
        <v>132</v>
      </c>
      <c r="C9" s="101">
        <v>343270</v>
      </c>
      <c r="D9" s="101">
        <v>6.69</v>
      </c>
      <c r="E9" s="55">
        <f t="shared" si="0"/>
        <v>2296476.3000000003</v>
      </c>
      <c r="F9" s="100" t="s">
        <v>133</v>
      </c>
      <c r="G9" s="100">
        <v>902.048</v>
      </c>
      <c r="H9" s="55">
        <v>17844.84</v>
      </c>
      <c r="I9" s="55">
        <f t="shared" si="1"/>
        <v>16096902.232319999</v>
      </c>
      <c r="J9" s="100" t="s">
        <v>134</v>
      </c>
      <c r="K9" s="100">
        <v>0</v>
      </c>
      <c r="L9" s="101"/>
      <c r="M9" s="55">
        <f t="shared" si="2"/>
        <v>0</v>
      </c>
      <c r="N9" s="100" t="s">
        <v>133</v>
      </c>
      <c r="O9" s="100">
        <v>0</v>
      </c>
      <c r="P9" s="101"/>
      <c r="Q9" s="101"/>
      <c r="R9" s="100" t="s">
        <v>783</v>
      </c>
      <c r="S9" s="350"/>
      <c r="T9" s="101"/>
      <c r="U9" s="55">
        <f t="shared" si="3"/>
        <v>0</v>
      </c>
    </row>
    <row r="10" spans="1:21" s="102" customFormat="1" x14ac:dyDescent="0.25">
      <c r="A10" s="100" t="s">
        <v>5</v>
      </c>
      <c r="B10" s="100" t="s">
        <v>132</v>
      </c>
      <c r="C10" s="101">
        <v>343270</v>
      </c>
      <c r="D10" s="101">
        <v>6.94</v>
      </c>
      <c r="E10" s="55">
        <f t="shared" si="0"/>
        <v>2382293.8000000003</v>
      </c>
      <c r="F10" s="100" t="s">
        <v>133</v>
      </c>
      <c r="G10" s="100">
        <v>902.048</v>
      </c>
      <c r="H10" s="55">
        <v>18558.64</v>
      </c>
      <c r="I10" s="55">
        <f>G10*H10</f>
        <v>16740784.09472</v>
      </c>
      <c r="J10" s="100" t="s">
        <v>134</v>
      </c>
      <c r="K10" s="100">
        <v>0</v>
      </c>
      <c r="L10" s="101"/>
      <c r="M10" s="55">
        <f t="shared" si="2"/>
        <v>0</v>
      </c>
      <c r="N10" s="100" t="s">
        <v>133</v>
      </c>
      <c r="O10" s="100">
        <v>0</v>
      </c>
      <c r="P10" s="101"/>
      <c r="Q10" s="101"/>
      <c r="R10" s="100" t="s">
        <v>783</v>
      </c>
      <c r="S10" s="350"/>
      <c r="T10" s="101"/>
      <c r="U10" s="55">
        <f t="shared" si="3"/>
        <v>0</v>
      </c>
    </row>
    <row r="11" spans="1:21" s="102" customForma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102" customForma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21" s="102" customForma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21" s="102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21" s="10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21" s="102" customFormat="1" ht="32.25" customHeight="1" x14ac:dyDescent="0.25">
      <c r="A16" s="649"/>
      <c r="B16" s="646" t="s">
        <v>142</v>
      </c>
      <c r="C16" s="646"/>
      <c r="D16" s="646"/>
      <c r="E16" s="646"/>
      <c r="F16" s="651" t="s">
        <v>199</v>
      </c>
      <c r="G16" s="652"/>
      <c r="H16" s="652"/>
      <c r="I16" s="653"/>
      <c r="J16" s="654" t="s">
        <v>200</v>
      </c>
      <c r="K16" s="647" t="s">
        <v>143</v>
      </c>
      <c r="L16" s="647" t="s">
        <v>144</v>
      </c>
      <c r="M16" s="647" t="s">
        <v>145</v>
      </c>
      <c r="N16" s="645"/>
      <c r="O16" s="645"/>
      <c r="P16" s="645"/>
      <c r="Q16" s="645"/>
      <c r="R16" s="645"/>
      <c r="S16" s="645"/>
    </row>
    <row r="17" spans="1:19" s="102" customFormat="1" x14ac:dyDescent="0.25">
      <c r="A17" s="650"/>
      <c r="B17" s="372" t="s">
        <v>63</v>
      </c>
      <c r="C17" s="27" t="s">
        <v>64</v>
      </c>
      <c r="D17" s="28" t="s">
        <v>59</v>
      </c>
      <c r="E17" s="372" t="s">
        <v>60</v>
      </c>
      <c r="F17" s="372" t="s">
        <v>63</v>
      </c>
      <c r="G17" s="27" t="s">
        <v>64</v>
      </c>
      <c r="H17" s="28" t="s">
        <v>59</v>
      </c>
      <c r="I17" s="372" t="s">
        <v>60</v>
      </c>
      <c r="J17" s="654"/>
      <c r="K17" s="647"/>
      <c r="L17" s="647"/>
      <c r="M17" s="647"/>
      <c r="N17" s="645"/>
      <c r="O17" s="645"/>
      <c r="P17" s="645"/>
      <c r="Q17" s="645"/>
      <c r="R17" s="645"/>
      <c r="S17" s="645"/>
    </row>
    <row r="18" spans="1:19" s="102" customFormat="1" x14ac:dyDescent="0.25">
      <c r="A18" s="366" t="s">
        <v>784</v>
      </c>
      <c r="B18" s="100" t="s">
        <v>783</v>
      </c>
      <c r="C18" s="435">
        <v>30</v>
      </c>
      <c r="D18" s="320">
        <f>6785.78*1.037</f>
        <v>7036.8538599999993</v>
      </c>
      <c r="E18" s="101">
        <f>D18*C18</f>
        <v>211105.61579999997</v>
      </c>
      <c r="F18" s="372"/>
      <c r="G18" s="27"/>
      <c r="H18" s="28"/>
      <c r="I18" s="372"/>
      <c r="J18" s="329">
        <f>E7</f>
        <v>1225254</v>
      </c>
      <c r="K18" s="310">
        <f>I7</f>
        <v>8097958.58103</v>
      </c>
      <c r="L18" s="437">
        <f>E18</f>
        <v>211105.61579999997</v>
      </c>
      <c r="M18" s="436">
        <f>J18+K18+L18</f>
        <v>9534318.1968300007</v>
      </c>
      <c r="N18" s="375"/>
      <c r="O18" s="375"/>
      <c r="P18" s="375"/>
      <c r="Q18" s="375"/>
      <c r="R18" s="375"/>
      <c r="S18" s="375"/>
    </row>
    <row r="19" spans="1:19" s="102" customFormat="1" x14ac:dyDescent="0.25">
      <c r="A19" s="366" t="s">
        <v>785</v>
      </c>
      <c r="B19" s="100" t="s">
        <v>783</v>
      </c>
      <c r="C19" s="100">
        <v>30</v>
      </c>
      <c r="D19" s="320">
        <f>6785.78*1.037</f>
        <v>7036.8538599999993</v>
      </c>
      <c r="E19" s="101">
        <f>D19*C19</f>
        <v>211105.61579999997</v>
      </c>
      <c r="F19" s="100"/>
      <c r="G19" s="100"/>
      <c r="H19" s="101"/>
      <c r="I19" s="101">
        <f>H19*G19</f>
        <v>0</v>
      </c>
      <c r="J19" s="329">
        <f t="shared" ref="J19:J21" si="4">E8</f>
        <v>992265.6</v>
      </c>
      <c r="K19" s="436">
        <f>I8+Q8</f>
        <v>7405449.5262495996</v>
      </c>
      <c r="L19" s="438">
        <f>M8+U8+E19+I19</f>
        <v>211105.61579999997</v>
      </c>
      <c r="M19" s="436">
        <f>J19+K19+L19</f>
        <v>8608820.7420496009</v>
      </c>
      <c r="N19" s="351"/>
      <c r="O19" s="351"/>
      <c r="P19" s="351"/>
      <c r="Q19" s="351"/>
      <c r="R19" s="351"/>
      <c r="S19" s="352"/>
    </row>
    <row r="20" spans="1:19" s="102" customFormat="1" x14ac:dyDescent="0.25">
      <c r="A20" s="100" t="s">
        <v>3</v>
      </c>
      <c r="B20" s="100" t="s">
        <v>783</v>
      </c>
      <c r="C20" s="100">
        <v>60</v>
      </c>
      <c r="D20" s="320">
        <f>6785.78*1.04</f>
        <v>7057.2111999999997</v>
      </c>
      <c r="E20" s="101">
        <f t="shared" ref="E20:E21" si="5">D20*C20</f>
        <v>423432.67199999996</v>
      </c>
      <c r="F20" s="100"/>
      <c r="G20" s="100"/>
      <c r="H20" s="101"/>
      <c r="I20" s="101">
        <f>H20*G20</f>
        <v>0</v>
      </c>
      <c r="J20" s="329">
        <f t="shared" si="4"/>
        <v>2296476.3000000003</v>
      </c>
      <c r="K20" s="436">
        <f>I9+Q9</f>
        <v>16096902.232319999</v>
      </c>
      <c r="L20" s="438">
        <f>M9+U9+E20+I20</f>
        <v>423432.67199999996</v>
      </c>
      <c r="M20" s="436">
        <f>J20+K20+L20</f>
        <v>18816811.204319999</v>
      </c>
      <c r="N20" s="351"/>
      <c r="O20" s="351"/>
      <c r="P20" s="351"/>
      <c r="Q20" s="351"/>
      <c r="R20" s="351"/>
      <c r="S20" s="352"/>
    </row>
    <row r="21" spans="1:19" s="102" customFormat="1" x14ac:dyDescent="0.25">
      <c r="A21" s="100" t="s">
        <v>5</v>
      </c>
      <c r="B21" s="100" t="s">
        <v>783</v>
      </c>
      <c r="C21" s="100">
        <v>60</v>
      </c>
      <c r="D21" s="320">
        <f>6785.78*1.04</f>
        <v>7057.2111999999997</v>
      </c>
      <c r="E21" s="101">
        <f t="shared" si="5"/>
        <v>423432.67199999996</v>
      </c>
      <c r="F21" s="100"/>
      <c r="G21" s="100"/>
      <c r="H21" s="101"/>
      <c r="I21" s="101">
        <f>H21*G21</f>
        <v>0</v>
      </c>
      <c r="J21" s="329">
        <f t="shared" si="4"/>
        <v>2382293.8000000003</v>
      </c>
      <c r="K21" s="436">
        <f>I10+Q10</f>
        <v>16740784.09472</v>
      </c>
      <c r="L21" s="438">
        <f>M10+U10+E21+I21</f>
        <v>423432.67199999996</v>
      </c>
      <c r="M21" s="436">
        <f t="shared" ref="M21" si="6">J21+K21+L21</f>
        <v>19546510.566719998</v>
      </c>
      <c r="N21" s="351"/>
      <c r="O21" s="351"/>
      <c r="P21" s="351"/>
      <c r="Q21" s="351"/>
      <c r="R21" s="351"/>
      <c r="S21" s="352"/>
    </row>
    <row r="22" spans="1:1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</sheetData>
  <mergeCells count="16">
    <mergeCell ref="A16:A17"/>
    <mergeCell ref="B16:E16"/>
    <mergeCell ref="F16:I16"/>
    <mergeCell ref="J16:J17"/>
    <mergeCell ref="K16:K17"/>
    <mergeCell ref="A3:M3"/>
    <mergeCell ref="A5:A6"/>
    <mergeCell ref="B5:E5"/>
    <mergeCell ref="F5:I5"/>
    <mergeCell ref="J5:M5"/>
    <mergeCell ref="N16:P17"/>
    <mergeCell ref="Q16:S17"/>
    <mergeCell ref="N5:Q5"/>
    <mergeCell ref="R5:U5"/>
    <mergeCell ref="L16:L17"/>
    <mergeCell ref="M16:M17"/>
  </mergeCells>
  <pageMargins left="0.7" right="0.7" top="0.75" bottom="0.75" header="0.3" footer="0.3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view="pageBreakPreview" zoomScaleSheetLayoutView="100" workbookViewId="0">
      <selection activeCell="A6" sqref="A6"/>
    </sheetView>
  </sheetViews>
  <sheetFormatPr defaultColWidth="9.140625" defaultRowHeight="15" x14ac:dyDescent="0.25"/>
  <cols>
    <col min="1" max="1" width="29.140625" style="29" customWidth="1"/>
    <col min="2" max="2" width="12" style="29" customWidth="1"/>
    <col min="3" max="3" width="14.28515625" style="29" customWidth="1"/>
    <col min="4" max="4" width="16" style="29" customWidth="1"/>
    <col min="5" max="5" width="12.42578125" style="29" customWidth="1"/>
    <col min="6" max="6" width="14.7109375" style="29" customWidth="1"/>
    <col min="7" max="7" width="13.85546875" style="29" customWidth="1"/>
    <col min="8" max="8" width="14.28515625" style="29" customWidth="1"/>
    <col min="9" max="9" width="13.85546875" style="29" bestFit="1" customWidth="1"/>
    <col min="10" max="16384" width="9.140625" style="29"/>
  </cols>
  <sheetData>
    <row r="1" spans="1:9" ht="34.5" customHeight="1" x14ac:dyDescent="0.25">
      <c r="A1" s="655" t="s">
        <v>91</v>
      </c>
      <c r="B1" s="655"/>
      <c r="C1" s="655"/>
      <c r="D1" s="655"/>
      <c r="E1" s="655"/>
      <c r="F1" s="655"/>
      <c r="G1" s="655"/>
      <c r="H1" s="655"/>
      <c r="I1" s="655"/>
    </row>
    <row r="3" spans="1:9" ht="37.5" customHeight="1" x14ac:dyDescent="0.25">
      <c r="A3" s="656"/>
      <c r="B3" s="656" t="s">
        <v>92</v>
      </c>
      <c r="C3" s="656"/>
      <c r="D3" s="656"/>
      <c r="E3" s="657" t="s">
        <v>93</v>
      </c>
      <c r="F3" s="657"/>
      <c r="G3" s="657"/>
      <c r="H3" s="657"/>
      <c r="I3" s="658" t="s">
        <v>71</v>
      </c>
    </row>
    <row r="4" spans="1:9" ht="45" x14ac:dyDescent="0.25">
      <c r="A4" s="656"/>
      <c r="B4" s="30" t="s">
        <v>94</v>
      </c>
      <c r="C4" s="30" t="s">
        <v>95</v>
      </c>
      <c r="D4" s="30" t="s">
        <v>96</v>
      </c>
      <c r="E4" s="30" t="s">
        <v>97</v>
      </c>
      <c r="F4" s="30" t="s">
        <v>98</v>
      </c>
      <c r="G4" s="30" t="s">
        <v>95</v>
      </c>
      <c r="H4" s="30" t="s">
        <v>96</v>
      </c>
      <c r="I4" s="659"/>
    </row>
    <row r="5" spans="1:9" x14ac:dyDescent="0.25">
      <c r="A5" s="376" t="s">
        <v>733</v>
      </c>
      <c r="B5" s="376">
        <v>2</v>
      </c>
      <c r="C5" s="31">
        <v>5000</v>
      </c>
      <c r="D5" s="32">
        <f>B5*C5*12</f>
        <v>120000</v>
      </c>
      <c r="E5" s="376">
        <v>13</v>
      </c>
      <c r="F5" s="376">
        <f>1200*1.8</f>
        <v>2160</v>
      </c>
      <c r="G5" s="31">
        <v>1200</v>
      </c>
      <c r="H5" s="31">
        <f>(E5*F5*3)+(G5*E5*9)</f>
        <v>224640</v>
      </c>
      <c r="I5" s="31">
        <f>D5+H5</f>
        <v>344640</v>
      </c>
    </row>
    <row r="6" spans="1:9" x14ac:dyDescent="0.25">
      <c r="A6" s="376" t="s">
        <v>3</v>
      </c>
      <c r="B6" s="376">
        <v>3</v>
      </c>
      <c r="C6" s="31">
        <v>5000</v>
      </c>
      <c r="D6" s="32">
        <f t="shared" ref="D6:D7" si="0">B6*C6*12</f>
        <v>180000</v>
      </c>
      <c r="E6" s="376">
        <v>15</v>
      </c>
      <c r="F6" s="376">
        <f t="shared" ref="F6:F7" si="1">1200*1.8</f>
        <v>2160</v>
      </c>
      <c r="G6" s="31">
        <v>1200</v>
      </c>
      <c r="H6" s="31">
        <f t="shared" ref="H6:H7" si="2">(E6*F6*3)+(G6*E6*9)</f>
        <v>259200</v>
      </c>
      <c r="I6" s="31">
        <f t="shared" ref="I6:I7" si="3">D6+H6</f>
        <v>439200</v>
      </c>
    </row>
    <row r="7" spans="1:9" x14ac:dyDescent="0.25">
      <c r="A7" s="376" t="s">
        <v>5</v>
      </c>
      <c r="B7" s="376">
        <v>3</v>
      </c>
      <c r="C7" s="31">
        <v>5000</v>
      </c>
      <c r="D7" s="32">
        <f t="shared" si="0"/>
        <v>180000</v>
      </c>
      <c r="E7" s="376">
        <v>15</v>
      </c>
      <c r="F7" s="376">
        <f t="shared" si="1"/>
        <v>2160</v>
      </c>
      <c r="G7" s="31">
        <v>1200</v>
      </c>
      <c r="H7" s="31">
        <f t="shared" si="2"/>
        <v>259200</v>
      </c>
      <c r="I7" s="31">
        <f t="shared" si="3"/>
        <v>439200</v>
      </c>
    </row>
    <row r="9" spans="1:9" x14ac:dyDescent="0.25">
      <c r="B9" s="33"/>
    </row>
  </sheetData>
  <mergeCells count="5">
    <mergeCell ref="A1:I1"/>
    <mergeCell ref="A3:A4"/>
    <mergeCell ref="B3:D3"/>
    <mergeCell ref="E3:H3"/>
    <mergeCell ref="I3:I4"/>
  </mergeCells>
  <pageMargins left="0.7" right="0.7" top="0.75" bottom="0.75" header="0.3" footer="0.3"/>
  <pageSetup paperSize="9" scale="9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view="pageBreakPreview" topLeftCell="B1" zoomScaleNormal="100" zoomScaleSheetLayoutView="100" workbookViewId="0">
      <pane xSplit="1" topLeftCell="C1" activePane="topRight" state="frozen"/>
      <selection activeCell="W23" sqref="W23"/>
      <selection pane="topRight" activeCell="AB11" sqref="AB11"/>
    </sheetView>
  </sheetViews>
  <sheetFormatPr defaultRowHeight="12.75" x14ac:dyDescent="0.2"/>
  <cols>
    <col min="1" max="1" width="4.140625" style="283" customWidth="1"/>
    <col min="2" max="2" width="33.28515625" style="284" customWidth="1"/>
    <col min="3" max="3" width="8.85546875" style="284" hidden="1" customWidth="1"/>
    <col min="4" max="4" width="11.140625" style="284" hidden="1" customWidth="1"/>
    <col min="5" max="5" width="7.85546875" style="284" hidden="1" customWidth="1"/>
    <col min="6" max="6" width="12.5703125" style="284" hidden="1" customWidth="1"/>
    <col min="7" max="7" width="11.7109375" style="284" hidden="1" customWidth="1"/>
    <col min="8" max="8" width="7.7109375" style="284" hidden="1" customWidth="1"/>
    <col min="9" max="9" width="15" style="284" hidden="1" customWidth="1"/>
    <col min="10" max="10" width="14.42578125" style="284" hidden="1" customWidth="1"/>
    <col min="11" max="11" width="9" style="284" hidden="1" customWidth="1"/>
    <col min="12" max="12" width="13.7109375" style="284" hidden="1" customWidth="1"/>
    <col min="13" max="13" width="12.140625" style="284" hidden="1" customWidth="1"/>
    <col min="14" max="14" width="10.5703125" style="284" hidden="1" customWidth="1"/>
    <col min="15" max="15" width="9.85546875" style="284" hidden="1" customWidth="1"/>
    <col min="16" max="16" width="14.28515625" style="284" hidden="1" customWidth="1"/>
    <col min="17" max="17" width="8.85546875" style="284" hidden="1" customWidth="1"/>
    <col min="18" max="18" width="12.7109375" style="284" hidden="1" customWidth="1"/>
    <col min="19" max="19" width="9.85546875" style="284" hidden="1" customWidth="1"/>
    <col min="20" max="20" width="9.7109375" style="284" hidden="1" customWidth="1"/>
    <col min="21" max="21" width="9.85546875" style="284" hidden="1" customWidth="1"/>
    <col min="22" max="22" width="8.28515625" style="284" customWidth="1"/>
    <col min="23" max="23" width="12.7109375" style="284" customWidth="1"/>
    <col min="24" max="24" width="11.42578125" style="284" customWidth="1"/>
    <col min="25" max="25" width="10.140625" style="284" customWidth="1"/>
    <col min="26" max="26" width="13.28515625" style="284" customWidth="1"/>
    <col min="27" max="27" width="14.85546875" style="284" customWidth="1"/>
    <col min="28" max="28" width="15.42578125" style="284" customWidth="1"/>
    <col min="29" max="29" width="12.7109375" style="284" customWidth="1"/>
    <col min="30" max="30" width="14" style="284" customWidth="1"/>
    <col min="31" max="31" width="14.28515625" style="284" customWidth="1"/>
    <col min="32" max="33" width="13.7109375" style="284" customWidth="1"/>
    <col min="34" max="34" width="14.140625" style="284" customWidth="1"/>
    <col min="35" max="256" width="9.140625" style="284"/>
    <col min="257" max="257" width="4.140625" style="284" customWidth="1"/>
    <col min="258" max="258" width="33.28515625" style="284" customWidth="1"/>
    <col min="259" max="259" width="8.85546875" style="284" customWidth="1"/>
    <col min="260" max="260" width="11.140625" style="284" customWidth="1"/>
    <col min="261" max="261" width="7.85546875" style="284" customWidth="1"/>
    <col min="262" max="262" width="12.5703125" style="284" customWidth="1"/>
    <col min="263" max="263" width="11.7109375" style="284" customWidth="1"/>
    <col min="264" max="264" width="7.7109375" style="284" customWidth="1"/>
    <col min="265" max="265" width="15" style="284" customWidth="1"/>
    <col min="266" max="266" width="14.42578125" style="284" customWidth="1"/>
    <col min="267" max="267" width="9" style="284" customWidth="1"/>
    <col min="268" max="268" width="13.7109375" style="284" customWidth="1"/>
    <col min="269" max="269" width="12.140625" style="284" customWidth="1"/>
    <col min="270" max="270" width="10.5703125" style="284" customWidth="1"/>
    <col min="271" max="271" width="9.85546875" style="284" customWidth="1"/>
    <col min="272" max="272" width="14.28515625" style="284" customWidth="1"/>
    <col min="273" max="273" width="8.85546875" style="284" customWidth="1"/>
    <col min="274" max="274" width="12.7109375" style="284" customWidth="1"/>
    <col min="275" max="275" width="9.85546875" style="284" customWidth="1"/>
    <col min="276" max="276" width="9.7109375" style="284" customWidth="1"/>
    <col min="277" max="277" width="9.85546875" style="284" customWidth="1"/>
    <col min="278" max="278" width="8.28515625" style="284" customWidth="1"/>
    <col min="279" max="279" width="12.7109375" style="284" customWidth="1"/>
    <col min="280" max="280" width="11.42578125" style="284" customWidth="1"/>
    <col min="281" max="281" width="10.140625" style="284" customWidth="1"/>
    <col min="282" max="282" width="13.28515625" style="284" customWidth="1"/>
    <col min="283" max="283" width="14.85546875" style="284" customWidth="1"/>
    <col min="284" max="284" width="15.42578125" style="284" customWidth="1"/>
    <col min="285" max="285" width="12.7109375" style="284" customWidth="1"/>
    <col min="286" max="286" width="14" style="284" customWidth="1"/>
    <col min="287" max="287" width="14.28515625" style="284" customWidth="1"/>
    <col min="288" max="289" width="13.7109375" style="284" customWidth="1"/>
    <col min="290" max="290" width="14.140625" style="284" customWidth="1"/>
    <col min="291" max="512" width="9.140625" style="284"/>
    <col min="513" max="513" width="4.140625" style="284" customWidth="1"/>
    <col min="514" max="514" width="33.28515625" style="284" customWidth="1"/>
    <col min="515" max="515" width="8.85546875" style="284" customWidth="1"/>
    <col min="516" max="516" width="11.140625" style="284" customWidth="1"/>
    <col min="517" max="517" width="7.85546875" style="284" customWidth="1"/>
    <col min="518" max="518" width="12.5703125" style="284" customWidth="1"/>
    <col min="519" max="519" width="11.7109375" style="284" customWidth="1"/>
    <col min="520" max="520" width="7.7109375" style="284" customWidth="1"/>
    <col min="521" max="521" width="15" style="284" customWidth="1"/>
    <col min="522" max="522" width="14.42578125" style="284" customWidth="1"/>
    <col min="523" max="523" width="9" style="284" customWidth="1"/>
    <col min="524" max="524" width="13.7109375" style="284" customWidth="1"/>
    <col min="525" max="525" width="12.140625" style="284" customWidth="1"/>
    <col min="526" max="526" width="10.5703125" style="284" customWidth="1"/>
    <col min="527" max="527" width="9.85546875" style="284" customWidth="1"/>
    <col min="528" max="528" width="14.28515625" style="284" customWidth="1"/>
    <col min="529" max="529" width="8.85546875" style="284" customWidth="1"/>
    <col min="530" max="530" width="12.7109375" style="284" customWidth="1"/>
    <col min="531" max="531" width="9.85546875" style="284" customWidth="1"/>
    <col min="532" max="532" width="9.7109375" style="284" customWidth="1"/>
    <col min="533" max="533" width="9.85546875" style="284" customWidth="1"/>
    <col min="534" max="534" width="8.28515625" style="284" customWidth="1"/>
    <col min="535" max="535" width="12.7109375" style="284" customWidth="1"/>
    <col min="536" max="536" width="11.42578125" style="284" customWidth="1"/>
    <col min="537" max="537" width="10.140625" style="284" customWidth="1"/>
    <col min="538" max="538" width="13.28515625" style="284" customWidth="1"/>
    <col min="539" max="539" width="14.85546875" style="284" customWidth="1"/>
    <col min="540" max="540" width="15.42578125" style="284" customWidth="1"/>
    <col min="541" max="541" width="12.7109375" style="284" customWidth="1"/>
    <col min="542" max="542" width="14" style="284" customWidth="1"/>
    <col min="543" max="543" width="14.28515625" style="284" customWidth="1"/>
    <col min="544" max="545" width="13.7109375" style="284" customWidth="1"/>
    <col min="546" max="546" width="14.140625" style="284" customWidth="1"/>
    <col min="547" max="768" width="9.140625" style="284"/>
    <col min="769" max="769" width="4.140625" style="284" customWidth="1"/>
    <col min="770" max="770" width="33.28515625" style="284" customWidth="1"/>
    <col min="771" max="771" width="8.85546875" style="284" customWidth="1"/>
    <col min="772" max="772" width="11.140625" style="284" customWidth="1"/>
    <col min="773" max="773" width="7.85546875" style="284" customWidth="1"/>
    <col min="774" max="774" width="12.5703125" style="284" customWidth="1"/>
    <col min="775" max="775" width="11.7109375" style="284" customWidth="1"/>
    <col min="776" max="776" width="7.7109375" style="284" customWidth="1"/>
    <col min="777" max="777" width="15" style="284" customWidth="1"/>
    <col min="778" max="778" width="14.42578125" style="284" customWidth="1"/>
    <col min="779" max="779" width="9" style="284" customWidth="1"/>
    <col min="780" max="780" width="13.7109375" style="284" customWidth="1"/>
    <col min="781" max="781" width="12.140625" style="284" customWidth="1"/>
    <col min="782" max="782" width="10.5703125" style="284" customWidth="1"/>
    <col min="783" max="783" width="9.85546875" style="284" customWidth="1"/>
    <col min="784" max="784" width="14.28515625" style="284" customWidth="1"/>
    <col min="785" max="785" width="8.85546875" style="284" customWidth="1"/>
    <col min="786" max="786" width="12.7109375" style="284" customWidth="1"/>
    <col min="787" max="787" width="9.85546875" style="284" customWidth="1"/>
    <col min="788" max="788" width="9.7109375" style="284" customWidth="1"/>
    <col min="789" max="789" width="9.85546875" style="284" customWidth="1"/>
    <col min="790" max="790" width="8.28515625" style="284" customWidth="1"/>
    <col min="791" max="791" width="12.7109375" style="284" customWidth="1"/>
    <col min="792" max="792" width="11.42578125" style="284" customWidth="1"/>
    <col min="793" max="793" width="10.140625" style="284" customWidth="1"/>
    <col min="794" max="794" width="13.28515625" style="284" customWidth="1"/>
    <col min="795" max="795" width="14.85546875" style="284" customWidth="1"/>
    <col min="796" max="796" width="15.42578125" style="284" customWidth="1"/>
    <col min="797" max="797" width="12.7109375" style="284" customWidth="1"/>
    <col min="798" max="798" width="14" style="284" customWidth="1"/>
    <col min="799" max="799" width="14.28515625" style="284" customWidth="1"/>
    <col min="800" max="801" width="13.7109375" style="284" customWidth="1"/>
    <col min="802" max="802" width="14.140625" style="284" customWidth="1"/>
    <col min="803" max="1024" width="9.140625" style="284"/>
    <col min="1025" max="1025" width="4.140625" style="284" customWidth="1"/>
    <col min="1026" max="1026" width="33.28515625" style="284" customWidth="1"/>
    <col min="1027" max="1027" width="8.85546875" style="284" customWidth="1"/>
    <col min="1028" max="1028" width="11.140625" style="284" customWidth="1"/>
    <col min="1029" max="1029" width="7.85546875" style="284" customWidth="1"/>
    <col min="1030" max="1030" width="12.5703125" style="284" customWidth="1"/>
    <col min="1031" max="1031" width="11.7109375" style="284" customWidth="1"/>
    <col min="1032" max="1032" width="7.7109375" style="284" customWidth="1"/>
    <col min="1033" max="1033" width="15" style="284" customWidth="1"/>
    <col min="1034" max="1034" width="14.42578125" style="284" customWidth="1"/>
    <col min="1035" max="1035" width="9" style="284" customWidth="1"/>
    <col min="1036" max="1036" width="13.7109375" style="284" customWidth="1"/>
    <col min="1037" max="1037" width="12.140625" style="284" customWidth="1"/>
    <col min="1038" max="1038" width="10.5703125" style="284" customWidth="1"/>
    <col min="1039" max="1039" width="9.85546875" style="284" customWidth="1"/>
    <col min="1040" max="1040" width="14.28515625" style="284" customWidth="1"/>
    <col min="1041" max="1041" width="8.85546875" style="284" customWidth="1"/>
    <col min="1042" max="1042" width="12.7109375" style="284" customWidth="1"/>
    <col min="1043" max="1043" width="9.85546875" style="284" customWidth="1"/>
    <col min="1044" max="1044" width="9.7109375" style="284" customWidth="1"/>
    <col min="1045" max="1045" width="9.85546875" style="284" customWidth="1"/>
    <col min="1046" max="1046" width="8.28515625" style="284" customWidth="1"/>
    <col min="1047" max="1047" width="12.7109375" style="284" customWidth="1"/>
    <col min="1048" max="1048" width="11.42578125" style="284" customWidth="1"/>
    <col min="1049" max="1049" width="10.140625" style="284" customWidth="1"/>
    <col min="1050" max="1050" width="13.28515625" style="284" customWidth="1"/>
    <col min="1051" max="1051" width="14.85546875" style="284" customWidth="1"/>
    <col min="1052" max="1052" width="15.42578125" style="284" customWidth="1"/>
    <col min="1053" max="1053" width="12.7109375" style="284" customWidth="1"/>
    <col min="1054" max="1054" width="14" style="284" customWidth="1"/>
    <col min="1055" max="1055" width="14.28515625" style="284" customWidth="1"/>
    <col min="1056" max="1057" width="13.7109375" style="284" customWidth="1"/>
    <col min="1058" max="1058" width="14.140625" style="284" customWidth="1"/>
    <col min="1059" max="1280" width="9.140625" style="284"/>
    <col min="1281" max="1281" width="4.140625" style="284" customWidth="1"/>
    <col min="1282" max="1282" width="33.28515625" style="284" customWidth="1"/>
    <col min="1283" max="1283" width="8.85546875" style="284" customWidth="1"/>
    <col min="1284" max="1284" width="11.140625" style="284" customWidth="1"/>
    <col min="1285" max="1285" width="7.85546875" style="284" customWidth="1"/>
    <col min="1286" max="1286" width="12.5703125" style="284" customWidth="1"/>
    <col min="1287" max="1287" width="11.7109375" style="284" customWidth="1"/>
    <col min="1288" max="1288" width="7.7109375" style="284" customWidth="1"/>
    <col min="1289" max="1289" width="15" style="284" customWidth="1"/>
    <col min="1290" max="1290" width="14.42578125" style="284" customWidth="1"/>
    <col min="1291" max="1291" width="9" style="284" customWidth="1"/>
    <col min="1292" max="1292" width="13.7109375" style="284" customWidth="1"/>
    <col min="1293" max="1293" width="12.140625" style="284" customWidth="1"/>
    <col min="1294" max="1294" width="10.5703125" style="284" customWidth="1"/>
    <col min="1295" max="1295" width="9.85546875" style="284" customWidth="1"/>
    <col min="1296" max="1296" width="14.28515625" style="284" customWidth="1"/>
    <col min="1297" max="1297" width="8.85546875" style="284" customWidth="1"/>
    <col min="1298" max="1298" width="12.7109375" style="284" customWidth="1"/>
    <col min="1299" max="1299" width="9.85546875" style="284" customWidth="1"/>
    <col min="1300" max="1300" width="9.7109375" style="284" customWidth="1"/>
    <col min="1301" max="1301" width="9.85546875" style="284" customWidth="1"/>
    <col min="1302" max="1302" width="8.28515625" style="284" customWidth="1"/>
    <col min="1303" max="1303" width="12.7109375" style="284" customWidth="1"/>
    <col min="1304" max="1304" width="11.42578125" style="284" customWidth="1"/>
    <col min="1305" max="1305" width="10.140625" style="284" customWidth="1"/>
    <col min="1306" max="1306" width="13.28515625" style="284" customWidth="1"/>
    <col min="1307" max="1307" width="14.85546875" style="284" customWidth="1"/>
    <col min="1308" max="1308" width="15.42578125" style="284" customWidth="1"/>
    <col min="1309" max="1309" width="12.7109375" style="284" customWidth="1"/>
    <col min="1310" max="1310" width="14" style="284" customWidth="1"/>
    <col min="1311" max="1311" width="14.28515625" style="284" customWidth="1"/>
    <col min="1312" max="1313" width="13.7109375" style="284" customWidth="1"/>
    <col min="1314" max="1314" width="14.140625" style="284" customWidth="1"/>
    <col min="1315" max="1536" width="9.140625" style="284"/>
    <col min="1537" max="1537" width="4.140625" style="284" customWidth="1"/>
    <col min="1538" max="1538" width="33.28515625" style="284" customWidth="1"/>
    <col min="1539" max="1539" width="8.85546875" style="284" customWidth="1"/>
    <col min="1540" max="1540" width="11.140625" style="284" customWidth="1"/>
    <col min="1541" max="1541" width="7.85546875" style="284" customWidth="1"/>
    <col min="1542" max="1542" width="12.5703125" style="284" customWidth="1"/>
    <col min="1543" max="1543" width="11.7109375" style="284" customWidth="1"/>
    <col min="1544" max="1544" width="7.7109375" style="284" customWidth="1"/>
    <col min="1545" max="1545" width="15" style="284" customWidth="1"/>
    <col min="1546" max="1546" width="14.42578125" style="284" customWidth="1"/>
    <col min="1547" max="1547" width="9" style="284" customWidth="1"/>
    <col min="1548" max="1548" width="13.7109375" style="284" customWidth="1"/>
    <col min="1549" max="1549" width="12.140625" style="284" customWidth="1"/>
    <col min="1550" max="1550" width="10.5703125" style="284" customWidth="1"/>
    <col min="1551" max="1551" width="9.85546875" style="284" customWidth="1"/>
    <col min="1552" max="1552" width="14.28515625" style="284" customWidth="1"/>
    <col min="1553" max="1553" width="8.85546875" style="284" customWidth="1"/>
    <col min="1554" max="1554" width="12.7109375" style="284" customWidth="1"/>
    <col min="1555" max="1555" width="9.85546875" style="284" customWidth="1"/>
    <col min="1556" max="1556" width="9.7109375" style="284" customWidth="1"/>
    <col min="1557" max="1557" width="9.85546875" style="284" customWidth="1"/>
    <col min="1558" max="1558" width="8.28515625" style="284" customWidth="1"/>
    <col min="1559" max="1559" width="12.7109375" style="284" customWidth="1"/>
    <col min="1560" max="1560" width="11.42578125" style="284" customWidth="1"/>
    <col min="1561" max="1561" width="10.140625" style="284" customWidth="1"/>
    <col min="1562" max="1562" width="13.28515625" style="284" customWidth="1"/>
    <col min="1563" max="1563" width="14.85546875" style="284" customWidth="1"/>
    <col min="1564" max="1564" width="15.42578125" style="284" customWidth="1"/>
    <col min="1565" max="1565" width="12.7109375" style="284" customWidth="1"/>
    <col min="1566" max="1566" width="14" style="284" customWidth="1"/>
    <col min="1567" max="1567" width="14.28515625" style="284" customWidth="1"/>
    <col min="1568" max="1569" width="13.7109375" style="284" customWidth="1"/>
    <col min="1570" max="1570" width="14.140625" style="284" customWidth="1"/>
    <col min="1571" max="1792" width="9.140625" style="284"/>
    <col min="1793" max="1793" width="4.140625" style="284" customWidth="1"/>
    <col min="1794" max="1794" width="33.28515625" style="284" customWidth="1"/>
    <col min="1795" max="1795" width="8.85546875" style="284" customWidth="1"/>
    <col min="1796" max="1796" width="11.140625" style="284" customWidth="1"/>
    <col min="1797" max="1797" width="7.85546875" style="284" customWidth="1"/>
    <col min="1798" max="1798" width="12.5703125" style="284" customWidth="1"/>
    <col min="1799" max="1799" width="11.7109375" style="284" customWidth="1"/>
    <col min="1800" max="1800" width="7.7109375" style="284" customWidth="1"/>
    <col min="1801" max="1801" width="15" style="284" customWidth="1"/>
    <col min="1802" max="1802" width="14.42578125" style="284" customWidth="1"/>
    <col min="1803" max="1803" width="9" style="284" customWidth="1"/>
    <col min="1804" max="1804" width="13.7109375" style="284" customWidth="1"/>
    <col min="1805" max="1805" width="12.140625" style="284" customWidth="1"/>
    <col min="1806" max="1806" width="10.5703125" style="284" customWidth="1"/>
    <col min="1807" max="1807" width="9.85546875" style="284" customWidth="1"/>
    <col min="1808" max="1808" width="14.28515625" style="284" customWidth="1"/>
    <col min="1809" max="1809" width="8.85546875" style="284" customWidth="1"/>
    <col min="1810" max="1810" width="12.7109375" style="284" customWidth="1"/>
    <col min="1811" max="1811" width="9.85546875" style="284" customWidth="1"/>
    <col min="1812" max="1812" width="9.7109375" style="284" customWidth="1"/>
    <col min="1813" max="1813" width="9.85546875" style="284" customWidth="1"/>
    <col min="1814" max="1814" width="8.28515625" style="284" customWidth="1"/>
    <col min="1815" max="1815" width="12.7109375" style="284" customWidth="1"/>
    <col min="1816" max="1816" width="11.42578125" style="284" customWidth="1"/>
    <col min="1817" max="1817" width="10.140625" style="284" customWidth="1"/>
    <col min="1818" max="1818" width="13.28515625" style="284" customWidth="1"/>
    <col min="1819" max="1819" width="14.85546875" style="284" customWidth="1"/>
    <col min="1820" max="1820" width="15.42578125" style="284" customWidth="1"/>
    <col min="1821" max="1821" width="12.7109375" style="284" customWidth="1"/>
    <col min="1822" max="1822" width="14" style="284" customWidth="1"/>
    <col min="1823" max="1823" width="14.28515625" style="284" customWidth="1"/>
    <col min="1824" max="1825" width="13.7109375" style="284" customWidth="1"/>
    <col min="1826" max="1826" width="14.140625" style="284" customWidth="1"/>
    <col min="1827" max="2048" width="9.140625" style="284"/>
    <col min="2049" max="2049" width="4.140625" style="284" customWidth="1"/>
    <col min="2050" max="2050" width="33.28515625" style="284" customWidth="1"/>
    <col min="2051" max="2051" width="8.85546875" style="284" customWidth="1"/>
    <col min="2052" max="2052" width="11.140625" style="284" customWidth="1"/>
    <col min="2053" max="2053" width="7.85546875" style="284" customWidth="1"/>
    <col min="2054" max="2054" width="12.5703125" style="284" customWidth="1"/>
    <col min="2055" max="2055" width="11.7109375" style="284" customWidth="1"/>
    <col min="2056" max="2056" width="7.7109375" style="284" customWidth="1"/>
    <col min="2057" max="2057" width="15" style="284" customWidth="1"/>
    <col min="2058" max="2058" width="14.42578125" style="284" customWidth="1"/>
    <col min="2059" max="2059" width="9" style="284" customWidth="1"/>
    <col min="2060" max="2060" width="13.7109375" style="284" customWidth="1"/>
    <col min="2061" max="2061" width="12.140625" style="284" customWidth="1"/>
    <col min="2062" max="2062" width="10.5703125" style="284" customWidth="1"/>
    <col min="2063" max="2063" width="9.85546875" style="284" customWidth="1"/>
    <col min="2064" max="2064" width="14.28515625" style="284" customWidth="1"/>
    <col min="2065" max="2065" width="8.85546875" style="284" customWidth="1"/>
    <col min="2066" max="2066" width="12.7109375" style="284" customWidth="1"/>
    <col min="2067" max="2067" width="9.85546875" style="284" customWidth="1"/>
    <col min="2068" max="2068" width="9.7109375" style="284" customWidth="1"/>
    <col min="2069" max="2069" width="9.85546875" style="284" customWidth="1"/>
    <col min="2070" max="2070" width="8.28515625" style="284" customWidth="1"/>
    <col min="2071" max="2071" width="12.7109375" style="284" customWidth="1"/>
    <col min="2072" max="2072" width="11.42578125" style="284" customWidth="1"/>
    <col min="2073" max="2073" width="10.140625" style="284" customWidth="1"/>
    <col min="2074" max="2074" width="13.28515625" style="284" customWidth="1"/>
    <col min="2075" max="2075" width="14.85546875" style="284" customWidth="1"/>
    <col min="2076" max="2076" width="15.42578125" style="284" customWidth="1"/>
    <col min="2077" max="2077" width="12.7109375" style="284" customWidth="1"/>
    <col min="2078" max="2078" width="14" style="284" customWidth="1"/>
    <col min="2079" max="2079" width="14.28515625" style="284" customWidth="1"/>
    <col min="2080" max="2081" width="13.7109375" style="284" customWidth="1"/>
    <col min="2082" max="2082" width="14.140625" style="284" customWidth="1"/>
    <col min="2083" max="2304" width="9.140625" style="284"/>
    <col min="2305" max="2305" width="4.140625" style="284" customWidth="1"/>
    <col min="2306" max="2306" width="33.28515625" style="284" customWidth="1"/>
    <col min="2307" max="2307" width="8.85546875" style="284" customWidth="1"/>
    <col min="2308" max="2308" width="11.140625" style="284" customWidth="1"/>
    <col min="2309" max="2309" width="7.85546875" style="284" customWidth="1"/>
    <col min="2310" max="2310" width="12.5703125" style="284" customWidth="1"/>
    <col min="2311" max="2311" width="11.7109375" style="284" customWidth="1"/>
    <col min="2312" max="2312" width="7.7109375" style="284" customWidth="1"/>
    <col min="2313" max="2313" width="15" style="284" customWidth="1"/>
    <col min="2314" max="2314" width="14.42578125" style="284" customWidth="1"/>
    <col min="2315" max="2315" width="9" style="284" customWidth="1"/>
    <col min="2316" max="2316" width="13.7109375" style="284" customWidth="1"/>
    <col min="2317" max="2317" width="12.140625" style="284" customWidth="1"/>
    <col min="2318" max="2318" width="10.5703125" style="284" customWidth="1"/>
    <col min="2319" max="2319" width="9.85546875" style="284" customWidth="1"/>
    <col min="2320" max="2320" width="14.28515625" style="284" customWidth="1"/>
    <col min="2321" max="2321" width="8.85546875" style="284" customWidth="1"/>
    <col min="2322" max="2322" width="12.7109375" style="284" customWidth="1"/>
    <col min="2323" max="2323" width="9.85546875" style="284" customWidth="1"/>
    <col min="2324" max="2324" width="9.7109375" style="284" customWidth="1"/>
    <col min="2325" max="2325" width="9.85546875" style="284" customWidth="1"/>
    <col min="2326" max="2326" width="8.28515625" style="284" customWidth="1"/>
    <col min="2327" max="2327" width="12.7109375" style="284" customWidth="1"/>
    <col min="2328" max="2328" width="11.42578125" style="284" customWidth="1"/>
    <col min="2329" max="2329" width="10.140625" style="284" customWidth="1"/>
    <col min="2330" max="2330" width="13.28515625" style="284" customWidth="1"/>
    <col min="2331" max="2331" width="14.85546875" style="284" customWidth="1"/>
    <col min="2332" max="2332" width="15.42578125" style="284" customWidth="1"/>
    <col min="2333" max="2333" width="12.7109375" style="284" customWidth="1"/>
    <col min="2334" max="2334" width="14" style="284" customWidth="1"/>
    <col min="2335" max="2335" width="14.28515625" style="284" customWidth="1"/>
    <col min="2336" max="2337" width="13.7109375" style="284" customWidth="1"/>
    <col min="2338" max="2338" width="14.140625" style="284" customWidth="1"/>
    <col min="2339" max="2560" width="9.140625" style="284"/>
    <col min="2561" max="2561" width="4.140625" style="284" customWidth="1"/>
    <col min="2562" max="2562" width="33.28515625" style="284" customWidth="1"/>
    <col min="2563" max="2563" width="8.85546875" style="284" customWidth="1"/>
    <col min="2564" max="2564" width="11.140625" style="284" customWidth="1"/>
    <col min="2565" max="2565" width="7.85546875" style="284" customWidth="1"/>
    <col min="2566" max="2566" width="12.5703125" style="284" customWidth="1"/>
    <col min="2567" max="2567" width="11.7109375" style="284" customWidth="1"/>
    <col min="2568" max="2568" width="7.7109375" style="284" customWidth="1"/>
    <col min="2569" max="2569" width="15" style="284" customWidth="1"/>
    <col min="2570" max="2570" width="14.42578125" style="284" customWidth="1"/>
    <col min="2571" max="2571" width="9" style="284" customWidth="1"/>
    <col min="2572" max="2572" width="13.7109375" style="284" customWidth="1"/>
    <col min="2573" max="2573" width="12.140625" style="284" customWidth="1"/>
    <col min="2574" max="2574" width="10.5703125" style="284" customWidth="1"/>
    <col min="2575" max="2575" width="9.85546875" style="284" customWidth="1"/>
    <col min="2576" max="2576" width="14.28515625" style="284" customWidth="1"/>
    <col min="2577" max="2577" width="8.85546875" style="284" customWidth="1"/>
    <col min="2578" max="2578" width="12.7109375" style="284" customWidth="1"/>
    <col min="2579" max="2579" width="9.85546875" style="284" customWidth="1"/>
    <col min="2580" max="2580" width="9.7109375" style="284" customWidth="1"/>
    <col min="2581" max="2581" width="9.85546875" style="284" customWidth="1"/>
    <col min="2582" max="2582" width="8.28515625" style="284" customWidth="1"/>
    <col min="2583" max="2583" width="12.7109375" style="284" customWidth="1"/>
    <col min="2584" max="2584" width="11.42578125" style="284" customWidth="1"/>
    <col min="2585" max="2585" width="10.140625" style="284" customWidth="1"/>
    <col min="2586" max="2586" width="13.28515625" style="284" customWidth="1"/>
    <col min="2587" max="2587" width="14.85546875" style="284" customWidth="1"/>
    <col min="2588" max="2588" width="15.42578125" style="284" customWidth="1"/>
    <col min="2589" max="2589" width="12.7109375" style="284" customWidth="1"/>
    <col min="2590" max="2590" width="14" style="284" customWidth="1"/>
    <col min="2591" max="2591" width="14.28515625" style="284" customWidth="1"/>
    <col min="2592" max="2593" width="13.7109375" style="284" customWidth="1"/>
    <col min="2594" max="2594" width="14.140625" style="284" customWidth="1"/>
    <col min="2595" max="2816" width="9.140625" style="284"/>
    <col min="2817" max="2817" width="4.140625" style="284" customWidth="1"/>
    <col min="2818" max="2818" width="33.28515625" style="284" customWidth="1"/>
    <col min="2819" max="2819" width="8.85546875" style="284" customWidth="1"/>
    <col min="2820" max="2820" width="11.140625" style="284" customWidth="1"/>
    <col min="2821" max="2821" width="7.85546875" style="284" customWidth="1"/>
    <col min="2822" max="2822" width="12.5703125" style="284" customWidth="1"/>
    <col min="2823" max="2823" width="11.7109375" style="284" customWidth="1"/>
    <col min="2824" max="2824" width="7.7109375" style="284" customWidth="1"/>
    <col min="2825" max="2825" width="15" style="284" customWidth="1"/>
    <col min="2826" max="2826" width="14.42578125" style="284" customWidth="1"/>
    <col min="2827" max="2827" width="9" style="284" customWidth="1"/>
    <col min="2828" max="2828" width="13.7109375" style="284" customWidth="1"/>
    <col min="2829" max="2829" width="12.140625" style="284" customWidth="1"/>
    <col min="2830" max="2830" width="10.5703125" style="284" customWidth="1"/>
    <col min="2831" max="2831" width="9.85546875" style="284" customWidth="1"/>
    <col min="2832" max="2832" width="14.28515625" style="284" customWidth="1"/>
    <col min="2833" max="2833" width="8.85546875" style="284" customWidth="1"/>
    <col min="2834" max="2834" width="12.7109375" style="284" customWidth="1"/>
    <col min="2835" max="2835" width="9.85546875" style="284" customWidth="1"/>
    <col min="2836" max="2836" width="9.7109375" style="284" customWidth="1"/>
    <col min="2837" max="2837" width="9.85546875" style="284" customWidth="1"/>
    <col min="2838" max="2838" width="8.28515625" style="284" customWidth="1"/>
    <col min="2839" max="2839" width="12.7109375" style="284" customWidth="1"/>
    <col min="2840" max="2840" width="11.42578125" style="284" customWidth="1"/>
    <col min="2841" max="2841" width="10.140625" style="284" customWidth="1"/>
    <col min="2842" max="2842" width="13.28515625" style="284" customWidth="1"/>
    <col min="2843" max="2843" width="14.85546875" style="284" customWidth="1"/>
    <col min="2844" max="2844" width="15.42578125" style="284" customWidth="1"/>
    <col min="2845" max="2845" width="12.7109375" style="284" customWidth="1"/>
    <col min="2846" max="2846" width="14" style="284" customWidth="1"/>
    <col min="2847" max="2847" width="14.28515625" style="284" customWidth="1"/>
    <col min="2848" max="2849" width="13.7109375" style="284" customWidth="1"/>
    <col min="2850" max="2850" width="14.140625" style="284" customWidth="1"/>
    <col min="2851" max="3072" width="9.140625" style="284"/>
    <col min="3073" max="3073" width="4.140625" style="284" customWidth="1"/>
    <col min="3074" max="3074" width="33.28515625" style="284" customWidth="1"/>
    <col min="3075" max="3075" width="8.85546875" style="284" customWidth="1"/>
    <col min="3076" max="3076" width="11.140625" style="284" customWidth="1"/>
    <col min="3077" max="3077" width="7.85546875" style="284" customWidth="1"/>
    <col min="3078" max="3078" width="12.5703125" style="284" customWidth="1"/>
    <col min="3079" max="3079" width="11.7109375" style="284" customWidth="1"/>
    <col min="3080" max="3080" width="7.7109375" style="284" customWidth="1"/>
    <col min="3081" max="3081" width="15" style="284" customWidth="1"/>
    <col min="3082" max="3082" width="14.42578125" style="284" customWidth="1"/>
    <col min="3083" max="3083" width="9" style="284" customWidth="1"/>
    <col min="3084" max="3084" width="13.7109375" style="284" customWidth="1"/>
    <col min="3085" max="3085" width="12.140625" style="284" customWidth="1"/>
    <col min="3086" max="3086" width="10.5703125" style="284" customWidth="1"/>
    <col min="3087" max="3087" width="9.85546875" style="284" customWidth="1"/>
    <col min="3088" max="3088" width="14.28515625" style="284" customWidth="1"/>
    <col min="3089" max="3089" width="8.85546875" style="284" customWidth="1"/>
    <col min="3090" max="3090" width="12.7109375" style="284" customWidth="1"/>
    <col min="3091" max="3091" width="9.85546875" style="284" customWidth="1"/>
    <col min="3092" max="3092" width="9.7109375" style="284" customWidth="1"/>
    <col min="3093" max="3093" width="9.85546875" style="284" customWidth="1"/>
    <col min="3094" max="3094" width="8.28515625" style="284" customWidth="1"/>
    <col min="3095" max="3095" width="12.7109375" style="284" customWidth="1"/>
    <col min="3096" max="3096" width="11.42578125" style="284" customWidth="1"/>
    <col min="3097" max="3097" width="10.140625" style="284" customWidth="1"/>
    <col min="3098" max="3098" width="13.28515625" style="284" customWidth="1"/>
    <col min="3099" max="3099" width="14.85546875" style="284" customWidth="1"/>
    <col min="3100" max="3100" width="15.42578125" style="284" customWidth="1"/>
    <col min="3101" max="3101" width="12.7109375" style="284" customWidth="1"/>
    <col min="3102" max="3102" width="14" style="284" customWidth="1"/>
    <col min="3103" max="3103" width="14.28515625" style="284" customWidth="1"/>
    <col min="3104" max="3105" width="13.7109375" style="284" customWidth="1"/>
    <col min="3106" max="3106" width="14.140625" style="284" customWidth="1"/>
    <col min="3107" max="3328" width="9.140625" style="284"/>
    <col min="3329" max="3329" width="4.140625" style="284" customWidth="1"/>
    <col min="3330" max="3330" width="33.28515625" style="284" customWidth="1"/>
    <col min="3331" max="3331" width="8.85546875" style="284" customWidth="1"/>
    <col min="3332" max="3332" width="11.140625" style="284" customWidth="1"/>
    <col min="3333" max="3333" width="7.85546875" style="284" customWidth="1"/>
    <col min="3334" max="3334" width="12.5703125" style="284" customWidth="1"/>
    <col min="3335" max="3335" width="11.7109375" style="284" customWidth="1"/>
    <col min="3336" max="3336" width="7.7109375" style="284" customWidth="1"/>
    <col min="3337" max="3337" width="15" style="284" customWidth="1"/>
    <col min="3338" max="3338" width="14.42578125" style="284" customWidth="1"/>
    <col min="3339" max="3339" width="9" style="284" customWidth="1"/>
    <col min="3340" max="3340" width="13.7109375" style="284" customWidth="1"/>
    <col min="3341" max="3341" width="12.140625" style="284" customWidth="1"/>
    <col min="3342" max="3342" width="10.5703125" style="284" customWidth="1"/>
    <col min="3343" max="3343" width="9.85546875" style="284" customWidth="1"/>
    <col min="3344" max="3344" width="14.28515625" style="284" customWidth="1"/>
    <col min="3345" max="3345" width="8.85546875" style="284" customWidth="1"/>
    <col min="3346" max="3346" width="12.7109375" style="284" customWidth="1"/>
    <col min="3347" max="3347" width="9.85546875" style="284" customWidth="1"/>
    <col min="3348" max="3348" width="9.7109375" style="284" customWidth="1"/>
    <col min="3349" max="3349" width="9.85546875" style="284" customWidth="1"/>
    <col min="3350" max="3350" width="8.28515625" style="284" customWidth="1"/>
    <col min="3351" max="3351" width="12.7109375" style="284" customWidth="1"/>
    <col min="3352" max="3352" width="11.42578125" style="284" customWidth="1"/>
    <col min="3353" max="3353" width="10.140625" style="284" customWidth="1"/>
    <col min="3354" max="3354" width="13.28515625" style="284" customWidth="1"/>
    <col min="3355" max="3355" width="14.85546875" style="284" customWidth="1"/>
    <col min="3356" max="3356" width="15.42578125" style="284" customWidth="1"/>
    <col min="3357" max="3357" width="12.7109375" style="284" customWidth="1"/>
    <col min="3358" max="3358" width="14" style="284" customWidth="1"/>
    <col min="3359" max="3359" width="14.28515625" style="284" customWidth="1"/>
    <col min="3360" max="3361" width="13.7109375" style="284" customWidth="1"/>
    <col min="3362" max="3362" width="14.140625" style="284" customWidth="1"/>
    <col min="3363" max="3584" width="9.140625" style="284"/>
    <col min="3585" max="3585" width="4.140625" style="284" customWidth="1"/>
    <col min="3586" max="3586" width="33.28515625" style="284" customWidth="1"/>
    <col min="3587" max="3587" width="8.85546875" style="284" customWidth="1"/>
    <col min="3588" max="3588" width="11.140625" style="284" customWidth="1"/>
    <col min="3589" max="3589" width="7.85546875" style="284" customWidth="1"/>
    <col min="3590" max="3590" width="12.5703125" style="284" customWidth="1"/>
    <col min="3591" max="3591" width="11.7109375" style="284" customWidth="1"/>
    <col min="3592" max="3592" width="7.7109375" style="284" customWidth="1"/>
    <col min="3593" max="3593" width="15" style="284" customWidth="1"/>
    <col min="3594" max="3594" width="14.42578125" style="284" customWidth="1"/>
    <col min="3595" max="3595" width="9" style="284" customWidth="1"/>
    <col min="3596" max="3596" width="13.7109375" style="284" customWidth="1"/>
    <col min="3597" max="3597" width="12.140625" style="284" customWidth="1"/>
    <col min="3598" max="3598" width="10.5703125" style="284" customWidth="1"/>
    <col min="3599" max="3599" width="9.85546875" style="284" customWidth="1"/>
    <col min="3600" max="3600" width="14.28515625" style="284" customWidth="1"/>
    <col min="3601" max="3601" width="8.85546875" style="284" customWidth="1"/>
    <col min="3602" max="3602" width="12.7109375" style="284" customWidth="1"/>
    <col min="3603" max="3603" width="9.85546875" style="284" customWidth="1"/>
    <col min="3604" max="3604" width="9.7109375" style="284" customWidth="1"/>
    <col min="3605" max="3605" width="9.85546875" style="284" customWidth="1"/>
    <col min="3606" max="3606" width="8.28515625" style="284" customWidth="1"/>
    <col min="3607" max="3607" width="12.7109375" style="284" customWidth="1"/>
    <col min="3608" max="3608" width="11.42578125" style="284" customWidth="1"/>
    <col min="3609" max="3609" width="10.140625" style="284" customWidth="1"/>
    <col min="3610" max="3610" width="13.28515625" style="284" customWidth="1"/>
    <col min="3611" max="3611" width="14.85546875" style="284" customWidth="1"/>
    <col min="3612" max="3612" width="15.42578125" style="284" customWidth="1"/>
    <col min="3613" max="3613" width="12.7109375" style="284" customWidth="1"/>
    <col min="3614" max="3614" width="14" style="284" customWidth="1"/>
    <col min="3615" max="3615" width="14.28515625" style="284" customWidth="1"/>
    <col min="3616" max="3617" width="13.7109375" style="284" customWidth="1"/>
    <col min="3618" max="3618" width="14.140625" style="284" customWidth="1"/>
    <col min="3619" max="3840" width="9.140625" style="284"/>
    <col min="3841" max="3841" width="4.140625" style="284" customWidth="1"/>
    <col min="3842" max="3842" width="33.28515625" style="284" customWidth="1"/>
    <col min="3843" max="3843" width="8.85546875" style="284" customWidth="1"/>
    <col min="3844" max="3844" width="11.140625" style="284" customWidth="1"/>
    <col min="3845" max="3845" width="7.85546875" style="284" customWidth="1"/>
    <col min="3846" max="3846" width="12.5703125" style="284" customWidth="1"/>
    <col min="3847" max="3847" width="11.7109375" style="284" customWidth="1"/>
    <col min="3848" max="3848" width="7.7109375" style="284" customWidth="1"/>
    <col min="3849" max="3849" width="15" style="284" customWidth="1"/>
    <col min="3850" max="3850" width="14.42578125" style="284" customWidth="1"/>
    <col min="3851" max="3851" width="9" style="284" customWidth="1"/>
    <col min="3852" max="3852" width="13.7109375" style="284" customWidth="1"/>
    <col min="3853" max="3853" width="12.140625" style="284" customWidth="1"/>
    <col min="3854" max="3854" width="10.5703125" style="284" customWidth="1"/>
    <col min="3855" max="3855" width="9.85546875" style="284" customWidth="1"/>
    <col min="3856" max="3856" width="14.28515625" style="284" customWidth="1"/>
    <col min="3857" max="3857" width="8.85546875" style="284" customWidth="1"/>
    <col min="3858" max="3858" width="12.7109375" style="284" customWidth="1"/>
    <col min="3859" max="3859" width="9.85546875" style="284" customWidth="1"/>
    <col min="3860" max="3860" width="9.7109375" style="284" customWidth="1"/>
    <col min="3861" max="3861" width="9.85546875" style="284" customWidth="1"/>
    <col min="3862" max="3862" width="8.28515625" style="284" customWidth="1"/>
    <col min="3863" max="3863" width="12.7109375" style="284" customWidth="1"/>
    <col min="3864" max="3864" width="11.42578125" style="284" customWidth="1"/>
    <col min="3865" max="3865" width="10.140625" style="284" customWidth="1"/>
    <col min="3866" max="3866" width="13.28515625" style="284" customWidth="1"/>
    <col min="3867" max="3867" width="14.85546875" style="284" customWidth="1"/>
    <col min="3868" max="3868" width="15.42578125" style="284" customWidth="1"/>
    <col min="3869" max="3869" width="12.7109375" style="284" customWidth="1"/>
    <col min="3870" max="3870" width="14" style="284" customWidth="1"/>
    <col min="3871" max="3871" width="14.28515625" style="284" customWidth="1"/>
    <col min="3872" max="3873" width="13.7109375" style="284" customWidth="1"/>
    <col min="3874" max="3874" width="14.140625" style="284" customWidth="1"/>
    <col min="3875" max="4096" width="9.140625" style="284"/>
    <col min="4097" max="4097" width="4.140625" style="284" customWidth="1"/>
    <col min="4098" max="4098" width="33.28515625" style="284" customWidth="1"/>
    <col min="4099" max="4099" width="8.85546875" style="284" customWidth="1"/>
    <col min="4100" max="4100" width="11.140625" style="284" customWidth="1"/>
    <col min="4101" max="4101" width="7.85546875" style="284" customWidth="1"/>
    <col min="4102" max="4102" width="12.5703125" style="284" customWidth="1"/>
    <col min="4103" max="4103" width="11.7109375" style="284" customWidth="1"/>
    <col min="4104" max="4104" width="7.7109375" style="284" customWidth="1"/>
    <col min="4105" max="4105" width="15" style="284" customWidth="1"/>
    <col min="4106" max="4106" width="14.42578125" style="284" customWidth="1"/>
    <col min="4107" max="4107" width="9" style="284" customWidth="1"/>
    <col min="4108" max="4108" width="13.7109375" style="284" customWidth="1"/>
    <col min="4109" max="4109" width="12.140625" style="284" customWidth="1"/>
    <col min="4110" max="4110" width="10.5703125" style="284" customWidth="1"/>
    <col min="4111" max="4111" width="9.85546875" style="284" customWidth="1"/>
    <col min="4112" max="4112" width="14.28515625" style="284" customWidth="1"/>
    <col min="4113" max="4113" width="8.85546875" style="284" customWidth="1"/>
    <col min="4114" max="4114" width="12.7109375" style="284" customWidth="1"/>
    <col min="4115" max="4115" width="9.85546875" style="284" customWidth="1"/>
    <col min="4116" max="4116" width="9.7109375" style="284" customWidth="1"/>
    <col min="4117" max="4117" width="9.85546875" style="284" customWidth="1"/>
    <col min="4118" max="4118" width="8.28515625" style="284" customWidth="1"/>
    <col min="4119" max="4119" width="12.7109375" style="284" customWidth="1"/>
    <col min="4120" max="4120" width="11.42578125" style="284" customWidth="1"/>
    <col min="4121" max="4121" width="10.140625" style="284" customWidth="1"/>
    <col min="4122" max="4122" width="13.28515625" style="284" customWidth="1"/>
    <col min="4123" max="4123" width="14.85546875" style="284" customWidth="1"/>
    <col min="4124" max="4124" width="15.42578125" style="284" customWidth="1"/>
    <col min="4125" max="4125" width="12.7109375" style="284" customWidth="1"/>
    <col min="4126" max="4126" width="14" style="284" customWidth="1"/>
    <col min="4127" max="4127" width="14.28515625" style="284" customWidth="1"/>
    <col min="4128" max="4129" width="13.7109375" style="284" customWidth="1"/>
    <col min="4130" max="4130" width="14.140625" style="284" customWidth="1"/>
    <col min="4131" max="4352" width="9.140625" style="284"/>
    <col min="4353" max="4353" width="4.140625" style="284" customWidth="1"/>
    <col min="4354" max="4354" width="33.28515625" style="284" customWidth="1"/>
    <col min="4355" max="4355" width="8.85546875" style="284" customWidth="1"/>
    <col min="4356" max="4356" width="11.140625" style="284" customWidth="1"/>
    <col min="4357" max="4357" width="7.85546875" style="284" customWidth="1"/>
    <col min="4358" max="4358" width="12.5703125" style="284" customWidth="1"/>
    <col min="4359" max="4359" width="11.7109375" style="284" customWidth="1"/>
    <col min="4360" max="4360" width="7.7109375" style="284" customWidth="1"/>
    <col min="4361" max="4361" width="15" style="284" customWidth="1"/>
    <col min="4362" max="4362" width="14.42578125" style="284" customWidth="1"/>
    <col min="4363" max="4363" width="9" style="284" customWidth="1"/>
    <col min="4364" max="4364" width="13.7109375" style="284" customWidth="1"/>
    <col min="4365" max="4365" width="12.140625" style="284" customWidth="1"/>
    <col min="4366" max="4366" width="10.5703125" style="284" customWidth="1"/>
    <col min="4367" max="4367" width="9.85546875" style="284" customWidth="1"/>
    <col min="4368" max="4368" width="14.28515625" style="284" customWidth="1"/>
    <col min="4369" max="4369" width="8.85546875" style="284" customWidth="1"/>
    <col min="4370" max="4370" width="12.7109375" style="284" customWidth="1"/>
    <col min="4371" max="4371" width="9.85546875" style="284" customWidth="1"/>
    <col min="4372" max="4372" width="9.7109375" style="284" customWidth="1"/>
    <col min="4373" max="4373" width="9.85546875" style="284" customWidth="1"/>
    <col min="4374" max="4374" width="8.28515625" style="284" customWidth="1"/>
    <col min="4375" max="4375" width="12.7109375" style="284" customWidth="1"/>
    <col min="4376" max="4376" width="11.42578125" style="284" customWidth="1"/>
    <col min="4377" max="4377" width="10.140625" style="284" customWidth="1"/>
    <col min="4378" max="4378" width="13.28515625" style="284" customWidth="1"/>
    <col min="4379" max="4379" width="14.85546875" style="284" customWidth="1"/>
    <col min="4380" max="4380" width="15.42578125" style="284" customWidth="1"/>
    <col min="4381" max="4381" width="12.7109375" style="284" customWidth="1"/>
    <col min="4382" max="4382" width="14" style="284" customWidth="1"/>
    <col min="4383" max="4383" width="14.28515625" style="284" customWidth="1"/>
    <col min="4384" max="4385" width="13.7109375" style="284" customWidth="1"/>
    <col min="4386" max="4386" width="14.140625" style="284" customWidth="1"/>
    <col min="4387" max="4608" width="9.140625" style="284"/>
    <col min="4609" max="4609" width="4.140625" style="284" customWidth="1"/>
    <col min="4610" max="4610" width="33.28515625" style="284" customWidth="1"/>
    <col min="4611" max="4611" width="8.85546875" style="284" customWidth="1"/>
    <col min="4612" max="4612" width="11.140625" style="284" customWidth="1"/>
    <col min="4613" max="4613" width="7.85546875" style="284" customWidth="1"/>
    <col min="4614" max="4614" width="12.5703125" style="284" customWidth="1"/>
    <col min="4615" max="4615" width="11.7109375" style="284" customWidth="1"/>
    <col min="4616" max="4616" width="7.7109375" style="284" customWidth="1"/>
    <col min="4617" max="4617" width="15" style="284" customWidth="1"/>
    <col min="4618" max="4618" width="14.42578125" style="284" customWidth="1"/>
    <col min="4619" max="4619" width="9" style="284" customWidth="1"/>
    <col min="4620" max="4620" width="13.7109375" style="284" customWidth="1"/>
    <col min="4621" max="4621" width="12.140625" style="284" customWidth="1"/>
    <col min="4622" max="4622" width="10.5703125" style="284" customWidth="1"/>
    <col min="4623" max="4623" width="9.85546875" style="284" customWidth="1"/>
    <col min="4624" max="4624" width="14.28515625" style="284" customWidth="1"/>
    <col min="4625" max="4625" width="8.85546875" style="284" customWidth="1"/>
    <col min="4626" max="4626" width="12.7109375" style="284" customWidth="1"/>
    <col min="4627" max="4627" width="9.85546875" style="284" customWidth="1"/>
    <col min="4628" max="4628" width="9.7109375" style="284" customWidth="1"/>
    <col min="4629" max="4629" width="9.85546875" style="284" customWidth="1"/>
    <col min="4630" max="4630" width="8.28515625" style="284" customWidth="1"/>
    <col min="4631" max="4631" width="12.7109375" style="284" customWidth="1"/>
    <col min="4632" max="4632" width="11.42578125" style="284" customWidth="1"/>
    <col min="4633" max="4633" width="10.140625" style="284" customWidth="1"/>
    <col min="4634" max="4634" width="13.28515625" style="284" customWidth="1"/>
    <col min="4635" max="4635" width="14.85546875" style="284" customWidth="1"/>
    <col min="4636" max="4636" width="15.42578125" style="284" customWidth="1"/>
    <col min="4637" max="4637" width="12.7109375" style="284" customWidth="1"/>
    <col min="4638" max="4638" width="14" style="284" customWidth="1"/>
    <col min="4639" max="4639" width="14.28515625" style="284" customWidth="1"/>
    <col min="4640" max="4641" width="13.7109375" style="284" customWidth="1"/>
    <col min="4642" max="4642" width="14.140625" style="284" customWidth="1"/>
    <col min="4643" max="4864" width="9.140625" style="284"/>
    <col min="4865" max="4865" width="4.140625" style="284" customWidth="1"/>
    <col min="4866" max="4866" width="33.28515625" style="284" customWidth="1"/>
    <col min="4867" max="4867" width="8.85546875" style="284" customWidth="1"/>
    <col min="4868" max="4868" width="11.140625" style="284" customWidth="1"/>
    <col min="4869" max="4869" width="7.85546875" style="284" customWidth="1"/>
    <col min="4870" max="4870" width="12.5703125" style="284" customWidth="1"/>
    <col min="4871" max="4871" width="11.7109375" style="284" customWidth="1"/>
    <col min="4872" max="4872" width="7.7109375" style="284" customWidth="1"/>
    <col min="4873" max="4873" width="15" style="284" customWidth="1"/>
    <col min="4874" max="4874" width="14.42578125" style="284" customWidth="1"/>
    <col min="4875" max="4875" width="9" style="284" customWidth="1"/>
    <col min="4876" max="4876" width="13.7109375" style="284" customWidth="1"/>
    <col min="4877" max="4877" width="12.140625" style="284" customWidth="1"/>
    <col min="4878" max="4878" width="10.5703125" style="284" customWidth="1"/>
    <col min="4879" max="4879" width="9.85546875" style="284" customWidth="1"/>
    <col min="4880" max="4880" width="14.28515625" style="284" customWidth="1"/>
    <col min="4881" max="4881" width="8.85546875" style="284" customWidth="1"/>
    <col min="4882" max="4882" width="12.7109375" style="284" customWidth="1"/>
    <col min="4883" max="4883" width="9.85546875" style="284" customWidth="1"/>
    <col min="4884" max="4884" width="9.7109375" style="284" customWidth="1"/>
    <col min="4885" max="4885" width="9.85546875" style="284" customWidth="1"/>
    <col min="4886" max="4886" width="8.28515625" style="284" customWidth="1"/>
    <col min="4887" max="4887" width="12.7109375" style="284" customWidth="1"/>
    <col min="4888" max="4888" width="11.42578125" style="284" customWidth="1"/>
    <col min="4889" max="4889" width="10.140625" style="284" customWidth="1"/>
    <col min="4890" max="4890" width="13.28515625" style="284" customWidth="1"/>
    <col min="4891" max="4891" width="14.85546875" style="284" customWidth="1"/>
    <col min="4892" max="4892" width="15.42578125" style="284" customWidth="1"/>
    <col min="4893" max="4893" width="12.7109375" style="284" customWidth="1"/>
    <col min="4894" max="4894" width="14" style="284" customWidth="1"/>
    <col min="4895" max="4895" width="14.28515625" style="284" customWidth="1"/>
    <col min="4896" max="4897" width="13.7109375" style="284" customWidth="1"/>
    <col min="4898" max="4898" width="14.140625" style="284" customWidth="1"/>
    <col min="4899" max="5120" width="9.140625" style="284"/>
    <col min="5121" max="5121" width="4.140625" style="284" customWidth="1"/>
    <col min="5122" max="5122" width="33.28515625" style="284" customWidth="1"/>
    <col min="5123" max="5123" width="8.85546875" style="284" customWidth="1"/>
    <col min="5124" max="5124" width="11.140625" style="284" customWidth="1"/>
    <col min="5125" max="5125" width="7.85546875" style="284" customWidth="1"/>
    <col min="5126" max="5126" width="12.5703125" style="284" customWidth="1"/>
    <col min="5127" max="5127" width="11.7109375" style="284" customWidth="1"/>
    <col min="5128" max="5128" width="7.7109375" style="284" customWidth="1"/>
    <col min="5129" max="5129" width="15" style="284" customWidth="1"/>
    <col min="5130" max="5130" width="14.42578125" style="284" customWidth="1"/>
    <col min="5131" max="5131" width="9" style="284" customWidth="1"/>
    <col min="5132" max="5132" width="13.7109375" style="284" customWidth="1"/>
    <col min="5133" max="5133" width="12.140625" style="284" customWidth="1"/>
    <col min="5134" max="5134" width="10.5703125" style="284" customWidth="1"/>
    <col min="5135" max="5135" width="9.85546875" style="284" customWidth="1"/>
    <col min="5136" max="5136" width="14.28515625" style="284" customWidth="1"/>
    <col min="5137" max="5137" width="8.85546875" style="284" customWidth="1"/>
    <col min="5138" max="5138" width="12.7109375" style="284" customWidth="1"/>
    <col min="5139" max="5139" width="9.85546875" style="284" customWidth="1"/>
    <col min="5140" max="5140" width="9.7109375" style="284" customWidth="1"/>
    <col min="5141" max="5141" width="9.85546875" style="284" customWidth="1"/>
    <col min="5142" max="5142" width="8.28515625" style="284" customWidth="1"/>
    <col min="5143" max="5143" width="12.7109375" style="284" customWidth="1"/>
    <col min="5144" max="5144" width="11.42578125" style="284" customWidth="1"/>
    <col min="5145" max="5145" width="10.140625" style="284" customWidth="1"/>
    <col min="5146" max="5146" width="13.28515625" style="284" customWidth="1"/>
    <col min="5147" max="5147" width="14.85546875" style="284" customWidth="1"/>
    <col min="5148" max="5148" width="15.42578125" style="284" customWidth="1"/>
    <col min="5149" max="5149" width="12.7109375" style="284" customWidth="1"/>
    <col min="5150" max="5150" width="14" style="284" customWidth="1"/>
    <col min="5151" max="5151" width="14.28515625" style="284" customWidth="1"/>
    <col min="5152" max="5153" width="13.7109375" style="284" customWidth="1"/>
    <col min="5154" max="5154" width="14.140625" style="284" customWidth="1"/>
    <col min="5155" max="5376" width="9.140625" style="284"/>
    <col min="5377" max="5377" width="4.140625" style="284" customWidth="1"/>
    <col min="5378" max="5378" width="33.28515625" style="284" customWidth="1"/>
    <col min="5379" max="5379" width="8.85546875" style="284" customWidth="1"/>
    <col min="5380" max="5380" width="11.140625" style="284" customWidth="1"/>
    <col min="5381" max="5381" width="7.85546875" style="284" customWidth="1"/>
    <col min="5382" max="5382" width="12.5703125" style="284" customWidth="1"/>
    <col min="5383" max="5383" width="11.7109375" style="284" customWidth="1"/>
    <col min="5384" max="5384" width="7.7109375" style="284" customWidth="1"/>
    <col min="5385" max="5385" width="15" style="284" customWidth="1"/>
    <col min="5386" max="5386" width="14.42578125" style="284" customWidth="1"/>
    <col min="5387" max="5387" width="9" style="284" customWidth="1"/>
    <col min="5388" max="5388" width="13.7109375" style="284" customWidth="1"/>
    <col min="5389" max="5389" width="12.140625" style="284" customWidth="1"/>
    <col min="5390" max="5390" width="10.5703125" style="284" customWidth="1"/>
    <col min="5391" max="5391" width="9.85546875" style="284" customWidth="1"/>
    <col min="5392" max="5392" width="14.28515625" style="284" customWidth="1"/>
    <col min="5393" max="5393" width="8.85546875" style="284" customWidth="1"/>
    <col min="5394" max="5394" width="12.7109375" style="284" customWidth="1"/>
    <col min="5395" max="5395" width="9.85546875" style="284" customWidth="1"/>
    <col min="5396" max="5396" width="9.7109375" style="284" customWidth="1"/>
    <col min="5397" max="5397" width="9.85546875" style="284" customWidth="1"/>
    <col min="5398" max="5398" width="8.28515625" style="284" customWidth="1"/>
    <col min="5399" max="5399" width="12.7109375" style="284" customWidth="1"/>
    <col min="5400" max="5400" width="11.42578125" style="284" customWidth="1"/>
    <col min="5401" max="5401" width="10.140625" style="284" customWidth="1"/>
    <col min="5402" max="5402" width="13.28515625" style="284" customWidth="1"/>
    <col min="5403" max="5403" width="14.85546875" style="284" customWidth="1"/>
    <col min="5404" max="5404" width="15.42578125" style="284" customWidth="1"/>
    <col min="5405" max="5405" width="12.7109375" style="284" customWidth="1"/>
    <col min="5406" max="5406" width="14" style="284" customWidth="1"/>
    <col min="5407" max="5407" width="14.28515625" style="284" customWidth="1"/>
    <col min="5408" max="5409" width="13.7109375" style="284" customWidth="1"/>
    <col min="5410" max="5410" width="14.140625" style="284" customWidth="1"/>
    <col min="5411" max="5632" width="9.140625" style="284"/>
    <col min="5633" max="5633" width="4.140625" style="284" customWidth="1"/>
    <col min="5634" max="5634" width="33.28515625" style="284" customWidth="1"/>
    <col min="5635" max="5635" width="8.85546875" style="284" customWidth="1"/>
    <col min="5636" max="5636" width="11.140625" style="284" customWidth="1"/>
    <col min="5637" max="5637" width="7.85546875" style="284" customWidth="1"/>
    <col min="5638" max="5638" width="12.5703125" style="284" customWidth="1"/>
    <col min="5639" max="5639" width="11.7109375" style="284" customWidth="1"/>
    <col min="5640" max="5640" width="7.7109375" style="284" customWidth="1"/>
    <col min="5641" max="5641" width="15" style="284" customWidth="1"/>
    <col min="5642" max="5642" width="14.42578125" style="284" customWidth="1"/>
    <col min="5643" max="5643" width="9" style="284" customWidth="1"/>
    <col min="5644" max="5644" width="13.7109375" style="284" customWidth="1"/>
    <col min="5645" max="5645" width="12.140625" style="284" customWidth="1"/>
    <col min="5646" max="5646" width="10.5703125" style="284" customWidth="1"/>
    <col min="5647" max="5647" width="9.85546875" style="284" customWidth="1"/>
    <col min="5648" max="5648" width="14.28515625" style="284" customWidth="1"/>
    <col min="5649" max="5649" width="8.85546875" style="284" customWidth="1"/>
    <col min="5650" max="5650" width="12.7109375" style="284" customWidth="1"/>
    <col min="5651" max="5651" width="9.85546875" style="284" customWidth="1"/>
    <col min="5652" max="5652" width="9.7109375" style="284" customWidth="1"/>
    <col min="5653" max="5653" width="9.85546875" style="284" customWidth="1"/>
    <col min="5654" max="5654" width="8.28515625" style="284" customWidth="1"/>
    <col min="5655" max="5655" width="12.7109375" style="284" customWidth="1"/>
    <col min="5656" max="5656" width="11.42578125" style="284" customWidth="1"/>
    <col min="5657" max="5657" width="10.140625" style="284" customWidth="1"/>
    <col min="5658" max="5658" width="13.28515625" style="284" customWidth="1"/>
    <col min="5659" max="5659" width="14.85546875" style="284" customWidth="1"/>
    <col min="5660" max="5660" width="15.42578125" style="284" customWidth="1"/>
    <col min="5661" max="5661" width="12.7109375" style="284" customWidth="1"/>
    <col min="5662" max="5662" width="14" style="284" customWidth="1"/>
    <col min="5663" max="5663" width="14.28515625" style="284" customWidth="1"/>
    <col min="5664" max="5665" width="13.7109375" style="284" customWidth="1"/>
    <col min="5666" max="5666" width="14.140625" style="284" customWidth="1"/>
    <col min="5667" max="5888" width="9.140625" style="284"/>
    <col min="5889" max="5889" width="4.140625" style="284" customWidth="1"/>
    <col min="5890" max="5890" width="33.28515625" style="284" customWidth="1"/>
    <col min="5891" max="5891" width="8.85546875" style="284" customWidth="1"/>
    <col min="5892" max="5892" width="11.140625" style="284" customWidth="1"/>
    <col min="5893" max="5893" width="7.85546875" style="284" customWidth="1"/>
    <col min="5894" max="5894" width="12.5703125" style="284" customWidth="1"/>
    <col min="5895" max="5895" width="11.7109375" style="284" customWidth="1"/>
    <col min="5896" max="5896" width="7.7109375" style="284" customWidth="1"/>
    <col min="5897" max="5897" width="15" style="284" customWidth="1"/>
    <col min="5898" max="5898" width="14.42578125" style="284" customWidth="1"/>
    <col min="5899" max="5899" width="9" style="284" customWidth="1"/>
    <col min="5900" max="5900" width="13.7109375" style="284" customWidth="1"/>
    <col min="5901" max="5901" width="12.140625" style="284" customWidth="1"/>
    <col min="5902" max="5902" width="10.5703125" style="284" customWidth="1"/>
    <col min="5903" max="5903" width="9.85546875" style="284" customWidth="1"/>
    <col min="5904" max="5904" width="14.28515625" style="284" customWidth="1"/>
    <col min="5905" max="5905" width="8.85546875" style="284" customWidth="1"/>
    <col min="5906" max="5906" width="12.7109375" style="284" customWidth="1"/>
    <col min="5907" max="5907" width="9.85546875" style="284" customWidth="1"/>
    <col min="5908" max="5908" width="9.7109375" style="284" customWidth="1"/>
    <col min="5909" max="5909" width="9.85546875" style="284" customWidth="1"/>
    <col min="5910" max="5910" width="8.28515625" style="284" customWidth="1"/>
    <col min="5911" max="5911" width="12.7109375" style="284" customWidth="1"/>
    <col min="5912" max="5912" width="11.42578125" style="284" customWidth="1"/>
    <col min="5913" max="5913" width="10.140625" style="284" customWidth="1"/>
    <col min="5914" max="5914" width="13.28515625" style="284" customWidth="1"/>
    <col min="5915" max="5915" width="14.85546875" style="284" customWidth="1"/>
    <col min="5916" max="5916" width="15.42578125" style="284" customWidth="1"/>
    <col min="5917" max="5917" width="12.7109375" style="284" customWidth="1"/>
    <col min="5918" max="5918" width="14" style="284" customWidth="1"/>
    <col min="5919" max="5919" width="14.28515625" style="284" customWidth="1"/>
    <col min="5920" max="5921" width="13.7109375" style="284" customWidth="1"/>
    <col min="5922" max="5922" width="14.140625" style="284" customWidth="1"/>
    <col min="5923" max="6144" width="9.140625" style="284"/>
    <col min="6145" max="6145" width="4.140625" style="284" customWidth="1"/>
    <col min="6146" max="6146" width="33.28515625" style="284" customWidth="1"/>
    <col min="6147" max="6147" width="8.85546875" style="284" customWidth="1"/>
    <col min="6148" max="6148" width="11.140625" style="284" customWidth="1"/>
    <col min="6149" max="6149" width="7.85546875" style="284" customWidth="1"/>
    <col min="6150" max="6150" width="12.5703125" style="284" customWidth="1"/>
    <col min="6151" max="6151" width="11.7109375" style="284" customWidth="1"/>
    <col min="6152" max="6152" width="7.7109375" style="284" customWidth="1"/>
    <col min="6153" max="6153" width="15" style="284" customWidth="1"/>
    <col min="6154" max="6154" width="14.42578125" style="284" customWidth="1"/>
    <col min="6155" max="6155" width="9" style="284" customWidth="1"/>
    <col min="6156" max="6156" width="13.7109375" style="284" customWidth="1"/>
    <col min="6157" max="6157" width="12.140625" style="284" customWidth="1"/>
    <col min="6158" max="6158" width="10.5703125" style="284" customWidth="1"/>
    <col min="6159" max="6159" width="9.85546875" style="284" customWidth="1"/>
    <col min="6160" max="6160" width="14.28515625" style="284" customWidth="1"/>
    <col min="6161" max="6161" width="8.85546875" style="284" customWidth="1"/>
    <col min="6162" max="6162" width="12.7109375" style="284" customWidth="1"/>
    <col min="6163" max="6163" width="9.85546875" style="284" customWidth="1"/>
    <col min="6164" max="6164" width="9.7109375" style="284" customWidth="1"/>
    <col min="6165" max="6165" width="9.85546875" style="284" customWidth="1"/>
    <col min="6166" max="6166" width="8.28515625" style="284" customWidth="1"/>
    <col min="6167" max="6167" width="12.7109375" style="284" customWidth="1"/>
    <col min="6168" max="6168" width="11.42578125" style="284" customWidth="1"/>
    <col min="6169" max="6169" width="10.140625" style="284" customWidth="1"/>
    <col min="6170" max="6170" width="13.28515625" style="284" customWidth="1"/>
    <col min="6171" max="6171" width="14.85546875" style="284" customWidth="1"/>
    <col min="6172" max="6172" width="15.42578125" style="284" customWidth="1"/>
    <col min="6173" max="6173" width="12.7109375" style="284" customWidth="1"/>
    <col min="6174" max="6174" width="14" style="284" customWidth="1"/>
    <col min="6175" max="6175" width="14.28515625" style="284" customWidth="1"/>
    <col min="6176" max="6177" width="13.7109375" style="284" customWidth="1"/>
    <col min="6178" max="6178" width="14.140625" style="284" customWidth="1"/>
    <col min="6179" max="6400" width="9.140625" style="284"/>
    <col min="6401" max="6401" width="4.140625" style="284" customWidth="1"/>
    <col min="6402" max="6402" width="33.28515625" style="284" customWidth="1"/>
    <col min="6403" max="6403" width="8.85546875" style="284" customWidth="1"/>
    <col min="6404" max="6404" width="11.140625" style="284" customWidth="1"/>
    <col min="6405" max="6405" width="7.85546875" style="284" customWidth="1"/>
    <col min="6406" max="6406" width="12.5703125" style="284" customWidth="1"/>
    <col min="6407" max="6407" width="11.7109375" style="284" customWidth="1"/>
    <col min="6408" max="6408" width="7.7109375" style="284" customWidth="1"/>
    <col min="6409" max="6409" width="15" style="284" customWidth="1"/>
    <col min="6410" max="6410" width="14.42578125" style="284" customWidth="1"/>
    <col min="6411" max="6411" width="9" style="284" customWidth="1"/>
    <col min="6412" max="6412" width="13.7109375" style="284" customWidth="1"/>
    <col min="6413" max="6413" width="12.140625" style="284" customWidth="1"/>
    <col min="6414" max="6414" width="10.5703125" style="284" customWidth="1"/>
    <col min="6415" max="6415" width="9.85546875" style="284" customWidth="1"/>
    <col min="6416" max="6416" width="14.28515625" style="284" customWidth="1"/>
    <col min="6417" max="6417" width="8.85546875" style="284" customWidth="1"/>
    <col min="6418" max="6418" width="12.7109375" style="284" customWidth="1"/>
    <col min="6419" max="6419" width="9.85546875" style="284" customWidth="1"/>
    <col min="6420" max="6420" width="9.7109375" style="284" customWidth="1"/>
    <col min="6421" max="6421" width="9.85546875" style="284" customWidth="1"/>
    <col min="6422" max="6422" width="8.28515625" style="284" customWidth="1"/>
    <col min="6423" max="6423" width="12.7109375" style="284" customWidth="1"/>
    <col min="6424" max="6424" width="11.42578125" style="284" customWidth="1"/>
    <col min="6425" max="6425" width="10.140625" style="284" customWidth="1"/>
    <col min="6426" max="6426" width="13.28515625" style="284" customWidth="1"/>
    <col min="6427" max="6427" width="14.85546875" style="284" customWidth="1"/>
    <col min="6428" max="6428" width="15.42578125" style="284" customWidth="1"/>
    <col min="6429" max="6429" width="12.7109375" style="284" customWidth="1"/>
    <col min="6430" max="6430" width="14" style="284" customWidth="1"/>
    <col min="6431" max="6431" width="14.28515625" style="284" customWidth="1"/>
    <col min="6432" max="6433" width="13.7109375" style="284" customWidth="1"/>
    <col min="6434" max="6434" width="14.140625" style="284" customWidth="1"/>
    <col min="6435" max="6656" width="9.140625" style="284"/>
    <col min="6657" max="6657" width="4.140625" style="284" customWidth="1"/>
    <col min="6658" max="6658" width="33.28515625" style="284" customWidth="1"/>
    <col min="6659" max="6659" width="8.85546875" style="284" customWidth="1"/>
    <col min="6660" max="6660" width="11.140625" style="284" customWidth="1"/>
    <col min="6661" max="6661" width="7.85546875" style="284" customWidth="1"/>
    <col min="6662" max="6662" width="12.5703125" style="284" customWidth="1"/>
    <col min="6663" max="6663" width="11.7109375" style="284" customWidth="1"/>
    <col min="6664" max="6664" width="7.7109375" style="284" customWidth="1"/>
    <col min="6665" max="6665" width="15" style="284" customWidth="1"/>
    <col min="6666" max="6666" width="14.42578125" style="284" customWidth="1"/>
    <col min="6667" max="6667" width="9" style="284" customWidth="1"/>
    <col min="6668" max="6668" width="13.7109375" style="284" customWidth="1"/>
    <col min="6669" max="6669" width="12.140625" style="284" customWidth="1"/>
    <col min="6670" max="6670" width="10.5703125" style="284" customWidth="1"/>
    <col min="6671" max="6671" width="9.85546875" style="284" customWidth="1"/>
    <col min="6672" max="6672" width="14.28515625" style="284" customWidth="1"/>
    <col min="6673" max="6673" width="8.85546875" style="284" customWidth="1"/>
    <col min="6674" max="6674" width="12.7109375" style="284" customWidth="1"/>
    <col min="6675" max="6675" width="9.85546875" style="284" customWidth="1"/>
    <col min="6676" max="6676" width="9.7109375" style="284" customWidth="1"/>
    <col min="6677" max="6677" width="9.85546875" style="284" customWidth="1"/>
    <col min="6678" max="6678" width="8.28515625" style="284" customWidth="1"/>
    <col min="6679" max="6679" width="12.7109375" style="284" customWidth="1"/>
    <col min="6680" max="6680" width="11.42578125" style="284" customWidth="1"/>
    <col min="6681" max="6681" width="10.140625" style="284" customWidth="1"/>
    <col min="6682" max="6682" width="13.28515625" style="284" customWidth="1"/>
    <col min="6683" max="6683" width="14.85546875" style="284" customWidth="1"/>
    <col min="6684" max="6684" width="15.42578125" style="284" customWidth="1"/>
    <col min="6685" max="6685" width="12.7109375" style="284" customWidth="1"/>
    <col min="6686" max="6686" width="14" style="284" customWidth="1"/>
    <col min="6687" max="6687" width="14.28515625" style="284" customWidth="1"/>
    <col min="6688" max="6689" width="13.7109375" style="284" customWidth="1"/>
    <col min="6690" max="6690" width="14.140625" style="284" customWidth="1"/>
    <col min="6691" max="6912" width="9.140625" style="284"/>
    <col min="6913" max="6913" width="4.140625" style="284" customWidth="1"/>
    <col min="6914" max="6914" width="33.28515625" style="284" customWidth="1"/>
    <col min="6915" max="6915" width="8.85546875" style="284" customWidth="1"/>
    <col min="6916" max="6916" width="11.140625" style="284" customWidth="1"/>
    <col min="6917" max="6917" width="7.85546875" style="284" customWidth="1"/>
    <col min="6918" max="6918" width="12.5703125" style="284" customWidth="1"/>
    <col min="6919" max="6919" width="11.7109375" style="284" customWidth="1"/>
    <col min="6920" max="6920" width="7.7109375" style="284" customWidth="1"/>
    <col min="6921" max="6921" width="15" style="284" customWidth="1"/>
    <col min="6922" max="6922" width="14.42578125" style="284" customWidth="1"/>
    <col min="6923" max="6923" width="9" style="284" customWidth="1"/>
    <col min="6924" max="6924" width="13.7109375" style="284" customWidth="1"/>
    <col min="6925" max="6925" width="12.140625" style="284" customWidth="1"/>
    <col min="6926" max="6926" width="10.5703125" style="284" customWidth="1"/>
    <col min="6927" max="6927" width="9.85546875" style="284" customWidth="1"/>
    <col min="6928" max="6928" width="14.28515625" style="284" customWidth="1"/>
    <col min="6929" max="6929" width="8.85546875" style="284" customWidth="1"/>
    <col min="6930" max="6930" width="12.7109375" style="284" customWidth="1"/>
    <col min="6931" max="6931" width="9.85546875" style="284" customWidth="1"/>
    <col min="6932" max="6932" width="9.7109375" style="284" customWidth="1"/>
    <col min="6933" max="6933" width="9.85546875" style="284" customWidth="1"/>
    <col min="6934" max="6934" width="8.28515625" style="284" customWidth="1"/>
    <col min="6935" max="6935" width="12.7109375" style="284" customWidth="1"/>
    <col min="6936" max="6936" width="11.42578125" style="284" customWidth="1"/>
    <col min="6937" max="6937" width="10.140625" style="284" customWidth="1"/>
    <col min="6938" max="6938" width="13.28515625" style="284" customWidth="1"/>
    <col min="6939" max="6939" width="14.85546875" style="284" customWidth="1"/>
    <col min="6940" max="6940" width="15.42578125" style="284" customWidth="1"/>
    <col min="6941" max="6941" width="12.7109375" style="284" customWidth="1"/>
    <col min="6942" max="6942" width="14" style="284" customWidth="1"/>
    <col min="6943" max="6943" width="14.28515625" style="284" customWidth="1"/>
    <col min="6944" max="6945" width="13.7109375" style="284" customWidth="1"/>
    <col min="6946" max="6946" width="14.140625" style="284" customWidth="1"/>
    <col min="6947" max="7168" width="9.140625" style="284"/>
    <col min="7169" max="7169" width="4.140625" style="284" customWidth="1"/>
    <col min="7170" max="7170" width="33.28515625" style="284" customWidth="1"/>
    <col min="7171" max="7171" width="8.85546875" style="284" customWidth="1"/>
    <col min="7172" max="7172" width="11.140625" style="284" customWidth="1"/>
    <col min="7173" max="7173" width="7.85546875" style="284" customWidth="1"/>
    <col min="7174" max="7174" width="12.5703125" style="284" customWidth="1"/>
    <col min="7175" max="7175" width="11.7109375" style="284" customWidth="1"/>
    <col min="7176" max="7176" width="7.7109375" style="284" customWidth="1"/>
    <col min="7177" max="7177" width="15" style="284" customWidth="1"/>
    <col min="7178" max="7178" width="14.42578125" style="284" customWidth="1"/>
    <col min="7179" max="7179" width="9" style="284" customWidth="1"/>
    <col min="7180" max="7180" width="13.7109375" style="284" customWidth="1"/>
    <col min="7181" max="7181" width="12.140625" style="284" customWidth="1"/>
    <col min="7182" max="7182" width="10.5703125" style="284" customWidth="1"/>
    <col min="7183" max="7183" width="9.85546875" style="284" customWidth="1"/>
    <col min="7184" max="7184" width="14.28515625" style="284" customWidth="1"/>
    <col min="7185" max="7185" width="8.85546875" style="284" customWidth="1"/>
    <col min="7186" max="7186" width="12.7109375" style="284" customWidth="1"/>
    <col min="7187" max="7187" width="9.85546875" style="284" customWidth="1"/>
    <col min="7188" max="7188" width="9.7109375" style="284" customWidth="1"/>
    <col min="7189" max="7189" width="9.85546875" style="284" customWidth="1"/>
    <col min="7190" max="7190" width="8.28515625" style="284" customWidth="1"/>
    <col min="7191" max="7191" width="12.7109375" style="284" customWidth="1"/>
    <col min="7192" max="7192" width="11.42578125" style="284" customWidth="1"/>
    <col min="7193" max="7193" width="10.140625" style="284" customWidth="1"/>
    <col min="7194" max="7194" width="13.28515625" style="284" customWidth="1"/>
    <col min="7195" max="7195" width="14.85546875" style="284" customWidth="1"/>
    <col min="7196" max="7196" width="15.42578125" style="284" customWidth="1"/>
    <col min="7197" max="7197" width="12.7109375" style="284" customWidth="1"/>
    <col min="7198" max="7198" width="14" style="284" customWidth="1"/>
    <col min="7199" max="7199" width="14.28515625" style="284" customWidth="1"/>
    <col min="7200" max="7201" width="13.7109375" style="284" customWidth="1"/>
    <col min="7202" max="7202" width="14.140625" style="284" customWidth="1"/>
    <col min="7203" max="7424" width="9.140625" style="284"/>
    <col min="7425" max="7425" width="4.140625" style="284" customWidth="1"/>
    <col min="7426" max="7426" width="33.28515625" style="284" customWidth="1"/>
    <col min="7427" max="7427" width="8.85546875" style="284" customWidth="1"/>
    <col min="7428" max="7428" width="11.140625" style="284" customWidth="1"/>
    <col min="7429" max="7429" width="7.85546875" style="284" customWidth="1"/>
    <col min="7430" max="7430" width="12.5703125" style="284" customWidth="1"/>
    <col min="7431" max="7431" width="11.7109375" style="284" customWidth="1"/>
    <col min="7432" max="7432" width="7.7109375" style="284" customWidth="1"/>
    <col min="7433" max="7433" width="15" style="284" customWidth="1"/>
    <col min="7434" max="7434" width="14.42578125" style="284" customWidth="1"/>
    <col min="7435" max="7435" width="9" style="284" customWidth="1"/>
    <col min="7436" max="7436" width="13.7109375" style="284" customWidth="1"/>
    <col min="7437" max="7437" width="12.140625" style="284" customWidth="1"/>
    <col min="7438" max="7438" width="10.5703125" style="284" customWidth="1"/>
    <col min="7439" max="7439" width="9.85546875" style="284" customWidth="1"/>
    <col min="7440" max="7440" width="14.28515625" style="284" customWidth="1"/>
    <col min="7441" max="7441" width="8.85546875" style="284" customWidth="1"/>
    <col min="7442" max="7442" width="12.7109375" style="284" customWidth="1"/>
    <col min="7443" max="7443" width="9.85546875" style="284" customWidth="1"/>
    <col min="7444" max="7444" width="9.7109375" style="284" customWidth="1"/>
    <col min="7445" max="7445" width="9.85546875" style="284" customWidth="1"/>
    <col min="7446" max="7446" width="8.28515625" style="284" customWidth="1"/>
    <col min="7447" max="7447" width="12.7109375" style="284" customWidth="1"/>
    <col min="7448" max="7448" width="11.42578125" style="284" customWidth="1"/>
    <col min="7449" max="7449" width="10.140625" style="284" customWidth="1"/>
    <col min="7450" max="7450" width="13.28515625" style="284" customWidth="1"/>
    <col min="7451" max="7451" width="14.85546875" style="284" customWidth="1"/>
    <col min="7452" max="7452" width="15.42578125" style="284" customWidth="1"/>
    <col min="7453" max="7453" width="12.7109375" style="284" customWidth="1"/>
    <col min="7454" max="7454" width="14" style="284" customWidth="1"/>
    <col min="7455" max="7455" width="14.28515625" style="284" customWidth="1"/>
    <col min="7456" max="7457" width="13.7109375" style="284" customWidth="1"/>
    <col min="7458" max="7458" width="14.140625" style="284" customWidth="1"/>
    <col min="7459" max="7680" width="9.140625" style="284"/>
    <col min="7681" max="7681" width="4.140625" style="284" customWidth="1"/>
    <col min="7682" max="7682" width="33.28515625" style="284" customWidth="1"/>
    <col min="7683" max="7683" width="8.85546875" style="284" customWidth="1"/>
    <col min="7684" max="7684" width="11.140625" style="284" customWidth="1"/>
    <col min="7685" max="7685" width="7.85546875" style="284" customWidth="1"/>
    <col min="7686" max="7686" width="12.5703125" style="284" customWidth="1"/>
    <col min="7687" max="7687" width="11.7109375" style="284" customWidth="1"/>
    <col min="7688" max="7688" width="7.7109375" style="284" customWidth="1"/>
    <col min="7689" max="7689" width="15" style="284" customWidth="1"/>
    <col min="7690" max="7690" width="14.42578125" style="284" customWidth="1"/>
    <col min="7691" max="7691" width="9" style="284" customWidth="1"/>
    <col min="7692" max="7692" width="13.7109375" style="284" customWidth="1"/>
    <col min="7693" max="7693" width="12.140625" style="284" customWidth="1"/>
    <col min="7694" max="7694" width="10.5703125" style="284" customWidth="1"/>
    <col min="7695" max="7695" width="9.85546875" style="284" customWidth="1"/>
    <col min="7696" max="7696" width="14.28515625" style="284" customWidth="1"/>
    <col min="7697" max="7697" width="8.85546875" style="284" customWidth="1"/>
    <col min="7698" max="7698" width="12.7109375" style="284" customWidth="1"/>
    <col min="7699" max="7699" width="9.85546875" style="284" customWidth="1"/>
    <col min="7700" max="7700" width="9.7109375" style="284" customWidth="1"/>
    <col min="7701" max="7701" width="9.85546875" style="284" customWidth="1"/>
    <col min="7702" max="7702" width="8.28515625" style="284" customWidth="1"/>
    <col min="7703" max="7703" width="12.7109375" style="284" customWidth="1"/>
    <col min="7704" max="7704" width="11.42578125" style="284" customWidth="1"/>
    <col min="7705" max="7705" width="10.140625" style="284" customWidth="1"/>
    <col min="7706" max="7706" width="13.28515625" style="284" customWidth="1"/>
    <col min="7707" max="7707" width="14.85546875" style="284" customWidth="1"/>
    <col min="7708" max="7708" width="15.42578125" style="284" customWidth="1"/>
    <col min="7709" max="7709" width="12.7109375" style="284" customWidth="1"/>
    <col min="7710" max="7710" width="14" style="284" customWidth="1"/>
    <col min="7711" max="7711" width="14.28515625" style="284" customWidth="1"/>
    <col min="7712" max="7713" width="13.7109375" style="284" customWidth="1"/>
    <col min="7714" max="7714" width="14.140625" style="284" customWidth="1"/>
    <col min="7715" max="7936" width="9.140625" style="284"/>
    <col min="7937" max="7937" width="4.140625" style="284" customWidth="1"/>
    <col min="7938" max="7938" width="33.28515625" style="284" customWidth="1"/>
    <col min="7939" max="7939" width="8.85546875" style="284" customWidth="1"/>
    <col min="7940" max="7940" width="11.140625" style="284" customWidth="1"/>
    <col min="7941" max="7941" width="7.85546875" style="284" customWidth="1"/>
    <col min="7942" max="7942" width="12.5703125" style="284" customWidth="1"/>
    <col min="7943" max="7943" width="11.7109375" style="284" customWidth="1"/>
    <col min="7944" max="7944" width="7.7109375" style="284" customWidth="1"/>
    <col min="7945" max="7945" width="15" style="284" customWidth="1"/>
    <col min="7946" max="7946" width="14.42578125" style="284" customWidth="1"/>
    <col min="7947" max="7947" width="9" style="284" customWidth="1"/>
    <col min="7948" max="7948" width="13.7109375" style="284" customWidth="1"/>
    <col min="7949" max="7949" width="12.140625" style="284" customWidth="1"/>
    <col min="7950" max="7950" width="10.5703125" style="284" customWidth="1"/>
    <col min="7951" max="7951" width="9.85546875" style="284" customWidth="1"/>
    <col min="7952" max="7952" width="14.28515625" style="284" customWidth="1"/>
    <col min="7953" max="7953" width="8.85546875" style="284" customWidth="1"/>
    <col min="7954" max="7954" width="12.7109375" style="284" customWidth="1"/>
    <col min="7955" max="7955" width="9.85546875" style="284" customWidth="1"/>
    <col min="7956" max="7956" width="9.7109375" style="284" customWidth="1"/>
    <col min="7957" max="7957" width="9.85546875" style="284" customWidth="1"/>
    <col min="7958" max="7958" width="8.28515625" style="284" customWidth="1"/>
    <col min="7959" max="7959" width="12.7109375" style="284" customWidth="1"/>
    <col min="7960" max="7960" width="11.42578125" style="284" customWidth="1"/>
    <col min="7961" max="7961" width="10.140625" style="284" customWidth="1"/>
    <col min="7962" max="7962" width="13.28515625" style="284" customWidth="1"/>
    <col min="7963" max="7963" width="14.85546875" style="284" customWidth="1"/>
    <col min="7964" max="7964" width="15.42578125" style="284" customWidth="1"/>
    <col min="7965" max="7965" width="12.7109375" style="284" customWidth="1"/>
    <col min="7966" max="7966" width="14" style="284" customWidth="1"/>
    <col min="7967" max="7967" width="14.28515625" style="284" customWidth="1"/>
    <col min="7968" max="7969" width="13.7109375" style="284" customWidth="1"/>
    <col min="7970" max="7970" width="14.140625" style="284" customWidth="1"/>
    <col min="7971" max="8192" width="9.140625" style="284"/>
    <col min="8193" max="8193" width="4.140625" style="284" customWidth="1"/>
    <col min="8194" max="8194" width="33.28515625" style="284" customWidth="1"/>
    <col min="8195" max="8195" width="8.85546875" style="284" customWidth="1"/>
    <col min="8196" max="8196" width="11.140625" style="284" customWidth="1"/>
    <col min="8197" max="8197" width="7.85546875" style="284" customWidth="1"/>
    <col min="8198" max="8198" width="12.5703125" style="284" customWidth="1"/>
    <col min="8199" max="8199" width="11.7109375" style="284" customWidth="1"/>
    <col min="8200" max="8200" width="7.7109375" style="284" customWidth="1"/>
    <col min="8201" max="8201" width="15" style="284" customWidth="1"/>
    <col min="8202" max="8202" width="14.42578125" style="284" customWidth="1"/>
    <col min="8203" max="8203" width="9" style="284" customWidth="1"/>
    <col min="8204" max="8204" width="13.7109375" style="284" customWidth="1"/>
    <col min="8205" max="8205" width="12.140625" style="284" customWidth="1"/>
    <col min="8206" max="8206" width="10.5703125" style="284" customWidth="1"/>
    <col min="8207" max="8207" width="9.85546875" style="284" customWidth="1"/>
    <col min="8208" max="8208" width="14.28515625" style="284" customWidth="1"/>
    <col min="8209" max="8209" width="8.85546875" style="284" customWidth="1"/>
    <col min="8210" max="8210" width="12.7109375" style="284" customWidth="1"/>
    <col min="8211" max="8211" width="9.85546875" style="284" customWidth="1"/>
    <col min="8212" max="8212" width="9.7109375" style="284" customWidth="1"/>
    <col min="8213" max="8213" width="9.85546875" style="284" customWidth="1"/>
    <col min="8214" max="8214" width="8.28515625" style="284" customWidth="1"/>
    <col min="8215" max="8215" width="12.7109375" style="284" customWidth="1"/>
    <col min="8216" max="8216" width="11.42578125" style="284" customWidth="1"/>
    <col min="8217" max="8217" width="10.140625" style="284" customWidth="1"/>
    <col min="8218" max="8218" width="13.28515625" style="284" customWidth="1"/>
    <col min="8219" max="8219" width="14.85546875" style="284" customWidth="1"/>
    <col min="8220" max="8220" width="15.42578125" style="284" customWidth="1"/>
    <col min="8221" max="8221" width="12.7109375" style="284" customWidth="1"/>
    <col min="8222" max="8222" width="14" style="284" customWidth="1"/>
    <col min="8223" max="8223" width="14.28515625" style="284" customWidth="1"/>
    <col min="8224" max="8225" width="13.7109375" style="284" customWidth="1"/>
    <col min="8226" max="8226" width="14.140625" style="284" customWidth="1"/>
    <col min="8227" max="8448" width="9.140625" style="284"/>
    <col min="8449" max="8449" width="4.140625" style="284" customWidth="1"/>
    <col min="8450" max="8450" width="33.28515625" style="284" customWidth="1"/>
    <col min="8451" max="8451" width="8.85546875" style="284" customWidth="1"/>
    <col min="8452" max="8452" width="11.140625" style="284" customWidth="1"/>
    <col min="8453" max="8453" width="7.85546875" style="284" customWidth="1"/>
    <col min="8454" max="8454" width="12.5703125" style="284" customWidth="1"/>
    <col min="8455" max="8455" width="11.7109375" style="284" customWidth="1"/>
    <col min="8456" max="8456" width="7.7109375" style="284" customWidth="1"/>
    <col min="8457" max="8457" width="15" style="284" customWidth="1"/>
    <col min="8458" max="8458" width="14.42578125" style="284" customWidth="1"/>
    <col min="8459" max="8459" width="9" style="284" customWidth="1"/>
    <col min="8460" max="8460" width="13.7109375" style="284" customWidth="1"/>
    <col min="8461" max="8461" width="12.140625" style="284" customWidth="1"/>
    <col min="8462" max="8462" width="10.5703125" style="284" customWidth="1"/>
    <col min="8463" max="8463" width="9.85546875" style="284" customWidth="1"/>
    <col min="8464" max="8464" width="14.28515625" style="284" customWidth="1"/>
    <col min="8465" max="8465" width="8.85546875" style="284" customWidth="1"/>
    <col min="8466" max="8466" width="12.7109375" style="284" customWidth="1"/>
    <col min="8467" max="8467" width="9.85546875" style="284" customWidth="1"/>
    <col min="8468" max="8468" width="9.7109375" style="284" customWidth="1"/>
    <col min="8469" max="8469" width="9.85546875" style="284" customWidth="1"/>
    <col min="8470" max="8470" width="8.28515625" style="284" customWidth="1"/>
    <col min="8471" max="8471" width="12.7109375" style="284" customWidth="1"/>
    <col min="8472" max="8472" width="11.42578125" style="284" customWidth="1"/>
    <col min="8473" max="8473" width="10.140625" style="284" customWidth="1"/>
    <col min="8474" max="8474" width="13.28515625" style="284" customWidth="1"/>
    <col min="8475" max="8475" width="14.85546875" style="284" customWidth="1"/>
    <col min="8476" max="8476" width="15.42578125" style="284" customWidth="1"/>
    <col min="8477" max="8477" width="12.7109375" style="284" customWidth="1"/>
    <col min="8478" max="8478" width="14" style="284" customWidth="1"/>
    <col min="8479" max="8479" width="14.28515625" style="284" customWidth="1"/>
    <col min="8480" max="8481" width="13.7109375" style="284" customWidth="1"/>
    <col min="8482" max="8482" width="14.140625" style="284" customWidth="1"/>
    <col min="8483" max="8704" width="9.140625" style="284"/>
    <col min="8705" max="8705" width="4.140625" style="284" customWidth="1"/>
    <col min="8706" max="8706" width="33.28515625" style="284" customWidth="1"/>
    <col min="8707" max="8707" width="8.85546875" style="284" customWidth="1"/>
    <col min="8708" max="8708" width="11.140625" style="284" customWidth="1"/>
    <col min="8709" max="8709" width="7.85546875" style="284" customWidth="1"/>
    <col min="8710" max="8710" width="12.5703125" style="284" customWidth="1"/>
    <col min="8711" max="8711" width="11.7109375" style="284" customWidth="1"/>
    <col min="8712" max="8712" width="7.7109375" style="284" customWidth="1"/>
    <col min="8713" max="8713" width="15" style="284" customWidth="1"/>
    <col min="8714" max="8714" width="14.42578125" style="284" customWidth="1"/>
    <col min="8715" max="8715" width="9" style="284" customWidth="1"/>
    <col min="8716" max="8716" width="13.7109375" style="284" customWidth="1"/>
    <col min="8717" max="8717" width="12.140625" style="284" customWidth="1"/>
    <col min="8718" max="8718" width="10.5703125" style="284" customWidth="1"/>
    <col min="8719" max="8719" width="9.85546875" style="284" customWidth="1"/>
    <col min="8720" max="8720" width="14.28515625" style="284" customWidth="1"/>
    <col min="8721" max="8721" width="8.85546875" style="284" customWidth="1"/>
    <col min="8722" max="8722" width="12.7109375" style="284" customWidth="1"/>
    <col min="8723" max="8723" width="9.85546875" style="284" customWidth="1"/>
    <col min="8724" max="8724" width="9.7109375" style="284" customWidth="1"/>
    <col min="8725" max="8725" width="9.85546875" style="284" customWidth="1"/>
    <col min="8726" max="8726" width="8.28515625" style="284" customWidth="1"/>
    <col min="8727" max="8727" width="12.7109375" style="284" customWidth="1"/>
    <col min="8728" max="8728" width="11.42578125" style="284" customWidth="1"/>
    <col min="8729" max="8729" width="10.140625" style="284" customWidth="1"/>
    <col min="8730" max="8730" width="13.28515625" style="284" customWidth="1"/>
    <col min="8731" max="8731" width="14.85546875" style="284" customWidth="1"/>
    <col min="8732" max="8732" width="15.42578125" style="284" customWidth="1"/>
    <col min="8733" max="8733" width="12.7109375" style="284" customWidth="1"/>
    <col min="8734" max="8734" width="14" style="284" customWidth="1"/>
    <col min="8735" max="8735" width="14.28515625" style="284" customWidth="1"/>
    <col min="8736" max="8737" width="13.7109375" style="284" customWidth="1"/>
    <col min="8738" max="8738" width="14.140625" style="284" customWidth="1"/>
    <col min="8739" max="8960" width="9.140625" style="284"/>
    <col min="8961" max="8961" width="4.140625" style="284" customWidth="1"/>
    <col min="8962" max="8962" width="33.28515625" style="284" customWidth="1"/>
    <col min="8963" max="8963" width="8.85546875" style="284" customWidth="1"/>
    <col min="8964" max="8964" width="11.140625" style="284" customWidth="1"/>
    <col min="8965" max="8965" width="7.85546875" style="284" customWidth="1"/>
    <col min="8966" max="8966" width="12.5703125" style="284" customWidth="1"/>
    <col min="8967" max="8967" width="11.7109375" style="284" customWidth="1"/>
    <col min="8968" max="8968" width="7.7109375" style="284" customWidth="1"/>
    <col min="8969" max="8969" width="15" style="284" customWidth="1"/>
    <col min="8970" max="8970" width="14.42578125" style="284" customWidth="1"/>
    <col min="8971" max="8971" width="9" style="284" customWidth="1"/>
    <col min="8972" max="8972" width="13.7109375" style="284" customWidth="1"/>
    <col min="8973" max="8973" width="12.140625" style="284" customWidth="1"/>
    <col min="8974" max="8974" width="10.5703125" style="284" customWidth="1"/>
    <col min="8975" max="8975" width="9.85546875" style="284" customWidth="1"/>
    <col min="8976" max="8976" width="14.28515625" style="284" customWidth="1"/>
    <col min="8977" max="8977" width="8.85546875" style="284" customWidth="1"/>
    <col min="8978" max="8978" width="12.7109375" style="284" customWidth="1"/>
    <col min="8979" max="8979" width="9.85546875" style="284" customWidth="1"/>
    <col min="8980" max="8980" width="9.7109375" style="284" customWidth="1"/>
    <col min="8981" max="8981" width="9.85546875" style="284" customWidth="1"/>
    <col min="8982" max="8982" width="8.28515625" style="284" customWidth="1"/>
    <col min="8983" max="8983" width="12.7109375" style="284" customWidth="1"/>
    <col min="8984" max="8984" width="11.42578125" style="284" customWidth="1"/>
    <col min="8985" max="8985" width="10.140625" style="284" customWidth="1"/>
    <col min="8986" max="8986" width="13.28515625" style="284" customWidth="1"/>
    <col min="8987" max="8987" width="14.85546875" style="284" customWidth="1"/>
    <col min="8988" max="8988" width="15.42578125" style="284" customWidth="1"/>
    <col min="8989" max="8989" width="12.7109375" style="284" customWidth="1"/>
    <col min="8990" max="8990" width="14" style="284" customWidth="1"/>
    <col min="8991" max="8991" width="14.28515625" style="284" customWidth="1"/>
    <col min="8992" max="8993" width="13.7109375" style="284" customWidth="1"/>
    <col min="8994" max="8994" width="14.140625" style="284" customWidth="1"/>
    <col min="8995" max="9216" width="9.140625" style="284"/>
    <col min="9217" max="9217" width="4.140625" style="284" customWidth="1"/>
    <col min="9218" max="9218" width="33.28515625" style="284" customWidth="1"/>
    <col min="9219" max="9219" width="8.85546875" style="284" customWidth="1"/>
    <col min="9220" max="9220" width="11.140625" style="284" customWidth="1"/>
    <col min="9221" max="9221" width="7.85546875" style="284" customWidth="1"/>
    <col min="9222" max="9222" width="12.5703125" style="284" customWidth="1"/>
    <col min="9223" max="9223" width="11.7109375" style="284" customWidth="1"/>
    <col min="9224" max="9224" width="7.7109375" style="284" customWidth="1"/>
    <col min="9225" max="9225" width="15" style="284" customWidth="1"/>
    <col min="9226" max="9226" width="14.42578125" style="284" customWidth="1"/>
    <col min="9227" max="9227" width="9" style="284" customWidth="1"/>
    <col min="9228" max="9228" width="13.7109375" style="284" customWidth="1"/>
    <col min="9229" max="9229" width="12.140625" style="284" customWidth="1"/>
    <col min="9230" max="9230" width="10.5703125" style="284" customWidth="1"/>
    <col min="9231" max="9231" width="9.85546875" style="284" customWidth="1"/>
    <col min="9232" max="9232" width="14.28515625" style="284" customWidth="1"/>
    <col min="9233" max="9233" width="8.85546875" style="284" customWidth="1"/>
    <col min="9234" max="9234" width="12.7109375" style="284" customWidth="1"/>
    <col min="9235" max="9235" width="9.85546875" style="284" customWidth="1"/>
    <col min="9236" max="9236" width="9.7109375" style="284" customWidth="1"/>
    <col min="9237" max="9237" width="9.85546875" style="284" customWidth="1"/>
    <col min="9238" max="9238" width="8.28515625" style="284" customWidth="1"/>
    <col min="9239" max="9239" width="12.7109375" style="284" customWidth="1"/>
    <col min="9240" max="9240" width="11.42578125" style="284" customWidth="1"/>
    <col min="9241" max="9241" width="10.140625" style="284" customWidth="1"/>
    <col min="9242" max="9242" width="13.28515625" style="284" customWidth="1"/>
    <col min="9243" max="9243" width="14.85546875" style="284" customWidth="1"/>
    <col min="9244" max="9244" width="15.42578125" style="284" customWidth="1"/>
    <col min="9245" max="9245" width="12.7109375" style="284" customWidth="1"/>
    <col min="9246" max="9246" width="14" style="284" customWidth="1"/>
    <col min="9247" max="9247" width="14.28515625" style="284" customWidth="1"/>
    <col min="9248" max="9249" width="13.7109375" style="284" customWidth="1"/>
    <col min="9250" max="9250" width="14.140625" style="284" customWidth="1"/>
    <col min="9251" max="9472" width="9.140625" style="284"/>
    <col min="9473" max="9473" width="4.140625" style="284" customWidth="1"/>
    <col min="9474" max="9474" width="33.28515625" style="284" customWidth="1"/>
    <col min="9475" max="9475" width="8.85546875" style="284" customWidth="1"/>
    <col min="9476" max="9476" width="11.140625" style="284" customWidth="1"/>
    <col min="9477" max="9477" width="7.85546875" style="284" customWidth="1"/>
    <col min="9478" max="9478" width="12.5703125" style="284" customWidth="1"/>
    <col min="9479" max="9479" width="11.7109375" style="284" customWidth="1"/>
    <col min="9480" max="9480" width="7.7109375" style="284" customWidth="1"/>
    <col min="9481" max="9481" width="15" style="284" customWidth="1"/>
    <col min="9482" max="9482" width="14.42578125" style="284" customWidth="1"/>
    <col min="9483" max="9483" width="9" style="284" customWidth="1"/>
    <col min="9484" max="9484" width="13.7109375" style="284" customWidth="1"/>
    <col min="9485" max="9485" width="12.140625" style="284" customWidth="1"/>
    <col min="9486" max="9486" width="10.5703125" style="284" customWidth="1"/>
    <col min="9487" max="9487" width="9.85546875" style="284" customWidth="1"/>
    <col min="9488" max="9488" width="14.28515625" style="284" customWidth="1"/>
    <col min="9489" max="9489" width="8.85546875" style="284" customWidth="1"/>
    <col min="9490" max="9490" width="12.7109375" style="284" customWidth="1"/>
    <col min="9491" max="9491" width="9.85546875" style="284" customWidth="1"/>
    <col min="9492" max="9492" width="9.7109375" style="284" customWidth="1"/>
    <col min="9493" max="9493" width="9.85546875" style="284" customWidth="1"/>
    <col min="9494" max="9494" width="8.28515625" style="284" customWidth="1"/>
    <col min="9495" max="9495" width="12.7109375" style="284" customWidth="1"/>
    <col min="9496" max="9496" width="11.42578125" style="284" customWidth="1"/>
    <col min="9497" max="9497" width="10.140625" style="284" customWidth="1"/>
    <col min="9498" max="9498" width="13.28515625" style="284" customWidth="1"/>
    <col min="9499" max="9499" width="14.85546875" style="284" customWidth="1"/>
    <col min="9500" max="9500" width="15.42578125" style="284" customWidth="1"/>
    <col min="9501" max="9501" width="12.7109375" style="284" customWidth="1"/>
    <col min="9502" max="9502" width="14" style="284" customWidth="1"/>
    <col min="9503" max="9503" width="14.28515625" style="284" customWidth="1"/>
    <col min="9504" max="9505" width="13.7109375" style="284" customWidth="1"/>
    <col min="9506" max="9506" width="14.140625" style="284" customWidth="1"/>
    <col min="9507" max="9728" width="9.140625" style="284"/>
    <col min="9729" max="9729" width="4.140625" style="284" customWidth="1"/>
    <col min="9730" max="9730" width="33.28515625" style="284" customWidth="1"/>
    <col min="9731" max="9731" width="8.85546875" style="284" customWidth="1"/>
    <col min="9732" max="9732" width="11.140625" style="284" customWidth="1"/>
    <col min="9733" max="9733" width="7.85546875" style="284" customWidth="1"/>
    <col min="9734" max="9734" width="12.5703125" style="284" customWidth="1"/>
    <col min="9735" max="9735" width="11.7109375" style="284" customWidth="1"/>
    <col min="9736" max="9736" width="7.7109375" style="284" customWidth="1"/>
    <col min="9737" max="9737" width="15" style="284" customWidth="1"/>
    <col min="9738" max="9738" width="14.42578125" style="284" customWidth="1"/>
    <col min="9739" max="9739" width="9" style="284" customWidth="1"/>
    <col min="9740" max="9740" width="13.7109375" style="284" customWidth="1"/>
    <col min="9741" max="9741" width="12.140625" style="284" customWidth="1"/>
    <col min="9742" max="9742" width="10.5703125" style="284" customWidth="1"/>
    <col min="9743" max="9743" width="9.85546875" style="284" customWidth="1"/>
    <col min="9744" max="9744" width="14.28515625" style="284" customWidth="1"/>
    <col min="9745" max="9745" width="8.85546875" style="284" customWidth="1"/>
    <col min="9746" max="9746" width="12.7109375" style="284" customWidth="1"/>
    <col min="9747" max="9747" width="9.85546875" style="284" customWidth="1"/>
    <col min="9748" max="9748" width="9.7109375" style="284" customWidth="1"/>
    <col min="9749" max="9749" width="9.85546875" style="284" customWidth="1"/>
    <col min="9750" max="9750" width="8.28515625" style="284" customWidth="1"/>
    <col min="9751" max="9751" width="12.7109375" style="284" customWidth="1"/>
    <col min="9752" max="9752" width="11.42578125" style="284" customWidth="1"/>
    <col min="9753" max="9753" width="10.140625" style="284" customWidth="1"/>
    <col min="9754" max="9754" width="13.28515625" style="284" customWidth="1"/>
    <col min="9755" max="9755" width="14.85546875" style="284" customWidth="1"/>
    <col min="9756" max="9756" width="15.42578125" style="284" customWidth="1"/>
    <col min="9757" max="9757" width="12.7109375" style="284" customWidth="1"/>
    <col min="9758" max="9758" width="14" style="284" customWidth="1"/>
    <col min="9759" max="9759" width="14.28515625" style="284" customWidth="1"/>
    <col min="9760" max="9761" width="13.7109375" style="284" customWidth="1"/>
    <col min="9762" max="9762" width="14.140625" style="284" customWidth="1"/>
    <col min="9763" max="9984" width="9.140625" style="284"/>
    <col min="9985" max="9985" width="4.140625" style="284" customWidth="1"/>
    <col min="9986" max="9986" width="33.28515625" style="284" customWidth="1"/>
    <col min="9987" max="9987" width="8.85546875" style="284" customWidth="1"/>
    <col min="9988" max="9988" width="11.140625" style="284" customWidth="1"/>
    <col min="9989" max="9989" width="7.85546875" style="284" customWidth="1"/>
    <col min="9990" max="9990" width="12.5703125" style="284" customWidth="1"/>
    <col min="9991" max="9991" width="11.7109375" style="284" customWidth="1"/>
    <col min="9992" max="9992" width="7.7109375" style="284" customWidth="1"/>
    <col min="9993" max="9993" width="15" style="284" customWidth="1"/>
    <col min="9994" max="9994" width="14.42578125" style="284" customWidth="1"/>
    <col min="9995" max="9995" width="9" style="284" customWidth="1"/>
    <col min="9996" max="9996" width="13.7109375" style="284" customWidth="1"/>
    <col min="9997" max="9997" width="12.140625" style="284" customWidth="1"/>
    <col min="9998" max="9998" width="10.5703125" style="284" customWidth="1"/>
    <col min="9999" max="9999" width="9.85546875" style="284" customWidth="1"/>
    <col min="10000" max="10000" width="14.28515625" style="284" customWidth="1"/>
    <col min="10001" max="10001" width="8.85546875" style="284" customWidth="1"/>
    <col min="10002" max="10002" width="12.7109375" style="284" customWidth="1"/>
    <col min="10003" max="10003" width="9.85546875" style="284" customWidth="1"/>
    <col min="10004" max="10004" width="9.7109375" style="284" customWidth="1"/>
    <col min="10005" max="10005" width="9.85546875" style="284" customWidth="1"/>
    <col min="10006" max="10006" width="8.28515625" style="284" customWidth="1"/>
    <col min="10007" max="10007" width="12.7109375" style="284" customWidth="1"/>
    <col min="10008" max="10008" width="11.42578125" style="284" customWidth="1"/>
    <col min="10009" max="10009" width="10.140625" style="284" customWidth="1"/>
    <col min="10010" max="10010" width="13.28515625" style="284" customWidth="1"/>
    <col min="10011" max="10011" width="14.85546875" style="284" customWidth="1"/>
    <col min="10012" max="10012" width="15.42578125" style="284" customWidth="1"/>
    <col min="10013" max="10013" width="12.7109375" style="284" customWidth="1"/>
    <col min="10014" max="10014" width="14" style="284" customWidth="1"/>
    <col min="10015" max="10015" width="14.28515625" style="284" customWidth="1"/>
    <col min="10016" max="10017" width="13.7109375" style="284" customWidth="1"/>
    <col min="10018" max="10018" width="14.140625" style="284" customWidth="1"/>
    <col min="10019" max="10240" width="9.140625" style="284"/>
    <col min="10241" max="10241" width="4.140625" style="284" customWidth="1"/>
    <col min="10242" max="10242" width="33.28515625" style="284" customWidth="1"/>
    <col min="10243" max="10243" width="8.85546875" style="284" customWidth="1"/>
    <col min="10244" max="10244" width="11.140625" style="284" customWidth="1"/>
    <col min="10245" max="10245" width="7.85546875" style="284" customWidth="1"/>
    <col min="10246" max="10246" width="12.5703125" style="284" customWidth="1"/>
    <col min="10247" max="10247" width="11.7109375" style="284" customWidth="1"/>
    <col min="10248" max="10248" width="7.7109375" style="284" customWidth="1"/>
    <col min="10249" max="10249" width="15" style="284" customWidth="1"/>
    <col min="10250" max="10250" width="14.42578125" style="284" customWidth="1"/>
    <col min="10251" max="10251" width="9" style="284" customWidth="1"/>
    <col min="10252" max="10252" width="13.7109375" style="284" customWidth="1"/>
    <col min="10253" max="10253" width="12.140625" style="284" customWidth="1"/>
    <col min="10254" max="10254" width="10.5703125" style="284" customWidth="1"/>
    <col min="10255" max="10255" width="9.85546875" style="284" customWidth="1"/>
    <col min="10256" max="10256" width="14.28515625" style="284" customWidth="1"/>
    <col min="10257" max="10257" width="8.85546875" style="284" customWidth="1"/>
    <col min="10258" max="10258" width="12.7109375" style="284" customWidth="1"/>
    <col min="10259" max="10259" width="9.85546875" style="284" customWidth="1"/>
    <col min="10260" max="10260" width="9.7109375" style="284" customWidth="1"/>
    <col min="10261" max="10261" width="9.85546875" style="284" customWidth="1"/>
    <col min="10262" max="10262" width="8.28515625" style="284" customWidth="1"/>
    <col min="10263" max="10263" width="12.7109375" style="284" customWidth="1"/>
    <col min="10264" max="10264" width="11.42578125" style="284" customWidth="1"/>
    <col min="10265" max="10265" width="10.140625" style="284" customWidth="1"/>
    <col min="10266" max="10266" width="13.28515625" style="284" customWidth="1"/>
    <col min="10267" max="10267" width="14.85546875" style="284" customWidth="1"/>
    <col min="10268" max="10268" width="15.42578125" style="284" customWidth="1"/>
    <col min="10269" max="10269" width="12.7109375" style="284" customWidth="1"/>
    <col min="10270" max="10270" width="14" style="284" customWidth="1"/>
    <col min="10271" max="10271" width="14.28515625" style="284" customWidth="1"/>
    <col min="10272" max="10273" width="13.7109375" style="284" customWidth="1"/>
    <col min="10274" max="10274" width="14.140625" style="284" customWidth="1"/>
    <col min="10275" max="10496" width="9.140625" style="284"/>
    <col min="10497" max="10497" width="4.140625" style="284" customWidth="1"/>
    <col min="10498" max="10498" width="33.28515625" style="284" customWidth="1"/>
    <col min="10499" max="10499" width="8.85546875" style="284" customWidth="1"/>
    <col min="10500" max="10500" width="11.140625" style="284" customWidth="1"/>
    <col min="10501" max="10501" width="7.85546875" style="284" customWidth="1"/>
    <col min="10502" max="10502" width="12.5703125" style="284" customWidth="1"/>
    <col min="10503" max="10503" width="11.7109375" style="284" customWidth="1"/>
    <col min="10504" max="10504" width="7.7109375" style="284" customWidth="1"/>
    <col min="10505" max="10505" width="15" style="284" customWidth="1"/>
    <col min="10506" max="10506" width="14.42578125" style="284" customWidth="1"/>
    <col min="10507" max="10507" width="9" style="284" customWidth="1"/>
    <col min="10508" max="10508" width="13.7109375" style="284" customWidth="1"/>
    <col min="10509" max="10509" width="12.140625" style="284" customWidth="1"/>
    <col min="10510" max="10510" width="10.5703125" style="284" customWidth="1"/>
    <col min="10511" max="10511" width="9.85546875" style="284" customWidth="1"/>
    <col min="10512" max="10512" width="14.28515625" style="284" customWidth="1"/>
    <col min="10513" max="10513" width="8.85546875" style="284" customWidth="1"/>
    <col min="10514" max="10514" width="12.7109375" style="284" customWidth="1"/>
    <col min="10515" max="10515" width="9.85546875" style="284" customWidth="1"/>
    <col min="10516" max="10516" width="9.7109375" style="284" customWidth="1"/>
    <col min="10517" max="10517" width="9.85546875" style="284" customWidth="1"/>
    <col min="10518" max="10518" width="8.28515625" style="284" customWidth="1"/>
    <col min="10519" max="10519" width="12.7109375" style="284" customWidth="1"/>
    <col min="10520" max="10520" width="11.42578125" style="284" customWidth="1"/>
    <col min="10521" max="10521" width="10.140625" style="284" customWidth="1"/>
    <col min="10522" max="10522" width="13.28515625" style="284" customWidth="1"/>
    <col min="10523" max="10523" width="14.85546875" style="284" customWidth="1"/>
    <col min="10524" max="10524" width="15.42578125" style="284" customWidth="1"/>
    <col min="10525" max="10525" width="12.7109375" style="284" customWidth="1"/>
    <col min="10526" max="10526" width="14" style="284" customWidth="1"/>
    <col min="10527" max="10527" width="14.28515625" style="284" customWidth="1"/>
    <col min="10528" max="10529" width="13.7109375" style="284" customWidth="1"/>
    <col min="10530" max="10530" width="14.140625" style="284" customWidth="1"/>
    <col min="10531" max="10752" width="9.140625" style="284"/>
    <col min="10753" max="10753" width="4.140625" style="284" customWidth="1"/>
    <col min="10754" max="10754" width="33.28515625" style="284" customWidth="1"/>
    <col min="10755" max="10755" width="8.85546875" style="284" customWidth="1"/>
    <col min="10756" max="10756" width="11.140625" style="284" customWidth="1"/>
    <col min="10757" max="10757" width="7.85546875" style="284" customWidth="1"/>
    <col min="10758" max="10758" width="12.5703125" style="284" customWidth="1"/>
    <col min="10759" max="10759" width="11.7109375" style="284" customWidth="1"/>
    <col min="10760" max="10760" width="7.7109375" style="284" customWidth="1"/>
    <col min="10761" max="10761" width="15" style="284" customWidth="1"/>
    <col min="10762" max="10762" width="14.42578125" style="284" customWidth="1"/>
    <col min="10763" max="10763" width="9" style="284" customWidth="1"/>
    <col min="10764" max="10764" width="13.7109375" style="284" customWidth="1"/>
    <col min="10765" max="10765" width="12.140625" style="284" customWidth="1"/>
    <col min="10766" max="10766" width="10.5703125" style="284" customWidth="1"/>
    <col min="10767" max="10767" width="9.85546875" style="284" customWidth="1"/>
    <col min="10768" max="10768" width="14.28515625" style="284" customWidth="1"/>
    <col min="10769" max="10769" width="8.85546875" style="284" customWidth="1"/>
    <col min="10770" max="10770" width="12.7109375" style="284" customWidth="1"/>
    <col min="10771" max="10771" width="9.85546875" style="284" customWidth="1"/>
    <col min="10772" max="10772" width="9.7109375" style="284" customWidth="1"/>
    <col min="10773" max="10773" width="9.85546875" style="284" customWidth="1"/>
    <col min="10774" max="10774" width="8.28515625" style="284" customWidth="1"/>
    <col min="10775" max="10775" width="12.7109375" style="284" customWidth="1"/>
    <col min="10776" max="10776" width="11.42578125" style="284" customWidth="1"/>
    <col min="10777" max="10777" width="10.140625" style="284" customWidth="1"/>
    <col min="10778" max="10778" width="13.28515625" style="284" customWidth="1"/>
    <col min="10779" max="10779" width="14.85546875" style="284" customWidth="1"/>
    <col min="10780" max="10780" width="15.42578125" style="284" customWidth="1"/>
    <col min="10781" max="10781" width="12.7109375" style="284" customWidth="1"/>
    <col min="10782" max="10782" width="14" style="284" customWidth="1"/>
    <col min="10783" max="10783" width="14.28515625" style="284" customWidth="1"/>
    <col min="10784" max="10785" width="13.7109375" style="284" customWidth="1"/>
    <col min="10786" max="10786" width="14.140625" style="284" customWidth="1"/>
    <col min="10787" max="11008" width="9.140625" style="284"/>
    <col min="11009" max="11009" width="4.140625" style="284" customWidth="1"/>
    <col min="11010" max="11010" width="33.28515625" style="284" customWidth="1"/>
    <col min="11011" max="11011" width="8.85546875" style="284" customWidth="1"/>
    <col min="11012" max="11012" width="11.140625" style="284" customWidth="1"/>
    <col min="11013" max="11013" width="7.85546875" style="284" customWidth="1"/>
    <col min="11014" max="11014" width="12.5703125" style="284" customWidth="1"/>
    <col min="11015" max="11015" width="11.7109375" style="284" customWidth="1"/>
    <col min="11016" max="11016" width="7.7109375" style="284" customWidth="1"/>
    <col min="11017" max="11017" width="15" style="284" customWidth="1"/>
    <col min="11018" max="11018" width="14.42578125" style="284" customWidth="1"/>
    <col min="11019" max="11019" width="9" style="284" customWidth="1"/>
    <col min="11020" max="11020" width="13.7109375" style="284" customWidth="1"/>
    <col min="11021" max="11021" width="12.140625" style="284" customWidth="1"/>
    <col min="11022" max="11022" width="10.5703125" style="284" customWidth="1"/>
    <col min="11023" max="11023" width="9.85546875" style="284" customWidth="1"/>
    <col min="11024" max="11024" width="14.28515625" style="284" customWidth="1"/>
    <col min="11025" max="11025" width="8.85546875" style="284" customWidth="1"/>
    <col min="11026" max="11026" width="12.7109375" style="284" customWidth="1"/>
    <col min="11027" max="11027" width="9.85546875" style="284" customWidth="1"/>
    <col min="11028" max="11028" width="9.7109375" style="284" customWidth="1"/>
    <col min="11029" max="11029" width="9.85546875" style="284" customWidth="1"/>
    <col min="11030" max="11030" width="8.28515625" style="284" customWidth="1"/>
    <col min="11031" max="11031" width="12.7109375" style="284" customWidth="1"/>
    <col min="11032" max="11032" width="11.42578125" style="284" customWidth="1"/>
    <col min="11033" max="11033" width="10.140625" style="284" customWidth="1"/>
    <col min="11034" max="11034" width="13.28515625" style="284" customWidth="1"/>
    <col min="11035" max="11035" width="14.85546875" style="284" customWidth="1"/>
    <col min="11036" max="11036" width="15.42578125" style="284" customWidth="1"/>
    <col min="11037" max="11037" width="12.7109375" style="284" customWidth="1"/>
    <col min="11038" max="11038" width="14" style="284" customWidth="1"/>
    <col min="11039" max="11039" width="14.28515625" style="284" customWidth="1"/>
    <col min="11040" max="11041" width="13.7109375" style="284" customWidth="1"/>
    <col min="11042" max="11042" width="14.140625" style="284" customWidth="1"/>
    <col min="11043" max="11264" width="9.140625" style="284"/>
    <col min="11265" max="11265" width="4.140625" style="284" customWidth="1"/>
    <col min="11266" max="11266" width="33.28515625" style="284" customWidth="1"/>
    <col min="11267" max="11267" width="8.85546875" style="284" customWidth="1"/>
    <col min="11268" max="11268" width="11.140625" style="284" customWidth="1"/>
    <col min="11269" max="11269" width="7.85546875" style="284" customWidth="1"/>
    <col min="11270" max="11270" width="12.5703125" style="284" customWidth="1"/>
    <col min="11271" max="11271" width="11.7109375" style="284" customWidth="1"/>
    <col min="11272" max="11272" width="7.7109375" style="284" customWidth="1"/>
    <col min="11273" max="11273" width="15" style="284" customWidth="1"/>
    <col min="11274" max="11274" width="14.42578125" style="284" customWidth="1"/>
    <col min="11275" max="11275" width="9" style="284" customWidth="1"/>
    <col min="11276" max="11276" width="13.7109375" style="284" customWidth="1"/>
    <col min="11277" max="11277" width="12.140625" style="284" customWidth="1"/>
    <col min="11278" max="11278" width="10.5703125" style="284" customWidth="1"/>
    <col min="11279" max="11279" width="9.85546875" style="284" customWidth="1"/>
    <col min="11280" max="11280" width="14.28515625" style="284" customWidth="1"/>
    <col min="11281" max="11281" width="8.85546875" style="284" customWidth="1"/>
    <col min="11282" max="11282" width="12.7109375" style="284" customWidth="1"/>
    <col min="11283" max="11283" width="9.85546875" style="284" customWidth="1"/>
    <col min="11284" max="11284" width="9.7109375" style="284" customWidth="1"/>
    <col min="11285" max="11285" width="9.85546875" style="284" customWidth="1"/>
    <col min="11286" max="11286" width="8.28515625" style="284" customWidth="1"/>
    <col min="11287" max="11287" width="12.7109375" style="284" customWidth="1"/>
    <col min="11288" max="11288" width="11.42578125" style="284" customWidth="1"/>
    <col min="11289" max="11289" width="10.140625" style="284" customWidth="1"/>
    <col min="11290" max="11290" width="13.28515625" style="284" customWidth="1"/>
    <col min="11291" max="11291" width="14.85546875" style="284" customWidth="1"/>
    <col min="11292" max="11292" width="15.42578125" style="284" customWidth="1"/>
    <col min="11293" max="11293" width="12.7109375" style="284" customWidth="1"/>
    <col min="11294" max="11294" width="14" style="284" customWidth="1"/>
    <col min="11295" max="11295" width="14.28515625" style="284" customWidth="1"/>
    <col min="11296" max="11297" width="13.7109375" style="284" customWidth="1"/>
    <col min="11298" max="11298" width="14.140625" style="284" customWidth="1"/>
    <col min="11299" max="11520" width="9.140625" style="284"/>
    <col min="11521" max="11521" width="4.140625" style="284" customWidth="1"/>
    <col min="11522" max="11522" width="33.28515625" style="284" customWidth="1"/>
    <col min="11523" max="11523" width="8.85546875" style="284" customWidth="1"/>
    <col min="11524" max="11524" width="11.140625" style="284" customWidth="1"/>
    <col min="11525" max="11525" width="7.85546875" style="284" customWidth="1"/>
    <col min="11526" max="11526" width="12.5703125" style="284" customWidth="1"/>
    <col min="11527" max="11527" width="11.7109375" style="284" customWidth="1"/>
    <col min="11528" max="11528" width="7.7109375" style="284" customWidth="1"/>
    <col min="11529" max="11529" width="15" style="284" customWidth="1"/>
    <col min="11530" max="11530" width="14.42578125" style="284" customWidth="1"/>
    <col min="11531" max="11531" width="9" style="284" customWidth="1"/>
    <col min="11532" max="11532" width="13.7109375" style="284" customWidth="1"/>
    <col min="11533" max="11533" width="12.140625" style="284" customWidth="1"/>
    <col min="11534" max="11534" width="10.5703125" style="284" customWidth="1"/>
    <col min="11535" max="11535" width="9.85546875" style="284" customWidth="1"/>
    <col min="11536" max="11536" width="14.28515625" style="284" customWidth="1"/>
    <col min="11537" max="11537" width="8.85546875" style="284" customWidth="1"/>
    <col min="11538" max="11538" width="12.7109375" style="284" customWidth="1"/>
    <col min="11539" max="11539" width="9.85546875" style="284" customWidth="1"/>
    <col min="11540" max="11540" width="9.7109375" style="284" customWidth="1"/>
    <col min="11541" max="11541" width="9.85546875" style="284" customWidth="1"/>
    <col min="11542" max="11542" width="8.28515625" style="284" customWidth="1"/>
    <col min="11543" max="11543" width="12.7109375" style="284" customWidth="1"/>
    <col min="11544" max="11544" width="11.42578125" style="284" customWidth="1"/>
    <col min="11545" max="11545" width="10.140625" style="284" customWidth="1"/>
    <col min="11546" max="11546" width="13.28515625" style="284" customWidth="1"/>
    <col min="11547" max="11547" width="14.85546875" style="284" customWidth="1"/>
    <col min="11548" max="11548" width="15.42578125" style="284" customWidth="1"/>
    <col min="11549" max="11549" width="12.7109375" style="284" customWidth="1"/>
    <col min="11550" max="11550" width="14" style="284" customWidth="1"/>
    <col min="11551" max="11551" width="14.28515625" style="284" customWidth="1"/>
    <col min="11552" max="11553" width="13.7109375" style="284" customWidth="1"/>
    <col min="11554" max="11554" width="14.140625" style="284" customWidth="1"/>
    <col min="11555" max="11776" width="9.140625" style="284"/>
    <col min="11777" max="11777" width="4.140625" style="284" customWidth="1"/>
    <col min="11778" max="11778" width="33.28515625" style="284" customWidth="1"/>
    <col min="11779" max="11779" width="8.85546875" style="284" customWidth="1"/>
    <col min="11780" max="11780" width="11.140625" style="284" customWidth="1"/>
    <col min="11781" max="11781" width="7.85546875" style="284" customWidth="1"/>
    <col min="11782" max="11782" width="12.5703125" style="284" customWidth="1"/>
    <col min="11783" max="11783" width="11.7109375" style="284" customWidth="1"/>
    <col min="11784" max="11784" width="7.7109375" style="284" customWidth="1"/>
    <col min="11785" max="11785" width="15" style="284" customWidth="1"/>
    <col min="11786" max="11786" width="14.42578125" style="284" customWidth="1"/>
    <col min="11787" max="11787" width="9" style="284" customWidth="1"/>
    <col min="11788" max="11788" width="13.7109375" style="284" customWidth="1"/>
    <col min="11789" max="11789" width="12.140625" style="284" customWidth="1"/>
    <col min="11790" max="11790" width="10.5703125" style="284" customWidth="1"/>
    <col min="11791" max="11791" width="9.85546875" style="284" customWidth="1"/>
    <col min="11792" max="11792" width="14.28515625" style="284" customWidth="1"/>
    <col min="11793" max="11793" width="8.85546875" style="284" customWidth="1"/>
    <col min="11794" max="11794" width="12.7109375" style="284" customWidth="1"/>
    <col min="11795" max="11795" width="9.85546875" style="284" customWidth="1"/>
    <col min="11796" max="11796" width="9.7109375" style="284" customWidth="1"/>
    <col min="11797" max="11797" width="9.85546875" style="284" customWidth="1"/>
    <col min="11798" max="11798" width="8.28515625" style="284" customWidth="1"/>
    <col min="11799" max="11799" width="12.7109375" style="284" customWidth="1"/>
    <col min="11800" max="11800" width="11.42578125" style="284" customWidth="1"/>
    <col min="11801" max="11801" width="10.140625" style="284" customWidth="1"/>
    <col min="11802" max="11802" width="13.28515625" style="284" customWidth="1"/>
    <col min="11803" max="11803" width="14.85546875" style="284" customWidth="1"/>
    <col min="11804" max="11804" width="15.42578125" style="284" customWidth="1"/>
    <col min="11805" max="11805" width="12.7109375" style="284" customWidth="1"/>
    <col min="11806" max="11806" width="14" style="284" customWidth="1"/>
    <col min="11807" max="11807" width="14.28515625" style="284" customWidth="1"/>
    <col min="11808" max="11809" width="13.7109375" style="284" customWidth="1"/>
    <col min="11810" max="11810" width="14.140625" style="284" customWidth="1"/>
    <col min="11811" max="12032" width="9.140625" style="284"/>
    <col min="12033" max="12033" width="4.140625" style="284" customWidth="1"/>
    <col min="12034" max="12034" width="33.28515625" style="284" customWidth="1"/>
    <col min="12035" max="12035" width="8.85546875" style="284" customWidth="1"/>
    <col min="12036" max="12036" width="11.140625" style="284" customWidth="1"/>
    <col min="12037" max="12037" width="7.85546875" style="284" customWidth="1"/>
    <col min="12038" max="12038" width="12.5703125" style="284" customWidth="1"/>
    <col min="12039" max="12039" width="11.7109375" style="284" customWidth="1"/>
    <col min="12040" max="12040" width="7.7109375" style="284" customWidth="1"/>
    <col min="12041" max="12041" width="15" style="284" customWidth="1"/>
    <col min="12042" max="12042" width="14.42578125" style="284" customWidth="1"/>
    <col min="12043" max="12043" width="9" style="284" customWidth="1"/>
    <col min="12044" max="12044" width="13.7109375" style="284" customWidth="1"/>
    <col min="12045" max="12045" width="12.140625" style="284" customWidth="1"/>
    <col min="12046" max="12046" width="10.5703125" style="284" customWidth="1"/>
    <col min="12047" max="12047" width="9.85546875" style="284" customWidth="1"/>
    <col min="12048" max="12048" width="14.28515625" style="284" customWidth="1"/>
    <col min="12049" max="12049" width="8.85546875" style="284" customWidth="1"/>
    <col min="12050" max="12050" width="12.7109375" style="284" customWidth="1"/>
    <col min="12051" max="12051" width="9.85546875" style="284" customWidth="1"/>
    <col min="12052" max="12052" width="9.7109375" style="284" customWidth="1"/>
    <col min="12053" max="12053" width="9.85546875" style="284" customWidth="1"/>
    <col min="12054" max="12054" width="8.28515625" style="284" customWidth="1"/>
    <col min="12055" max="12055" width="12.7109375" style="284" customWidth="1"/>
    <col min="12056" max="12056" width="11.42578125" style="284" customWidth="1"/>
    <col min="12057" max="12057" width="10.140625" style="284" customWidth="1"/>
    <col min="12058" max="12058" width="13.28515625" style="284" customWidth="1"/>
    <col min="12059" max="12059" width="14.85546875" style="284" customWidth="1"/>
    <col min="12060" max="12060" width="15.42578125" style="284" customWidth="1"/>
    <col min="12061" max="12061" width="12.7109375" style="284" customWidth="1"/>
    <col min="12062" max="12062" width="14" style="284" customWidth="1"/>
    <col min="12063" max="12063" width="14.28515625" style="284" customWidth="1"/>
    <col min="12064" max="12065" width="13.7109375" style="284" customWidth="1"/>
    <col min="12066" max="12066" width="14.140625" style="284" customWidth="1"/>
    <col min="12067" max="12288" width="9.140625" style="284"/>
    <col min="12289" max="12289" width="4.140625" style="284" customWidth="1"/>
    <col min="12290" max="12290" width="33.28515625" style="284" customWidth="1"/>
    <col min="12291" max="12291" width="8.85546875" style="284" customWidth="1"/>
    <col min="12292" max="12292" width="11.140625" style="284" customWidth="1"/>
    <col min="12293" max="12293" width="7.85546875" style="284" customWidth="1"/>
    <col min="12294" max="12294" width="12.5703125" style="284" customWidth="1"/>
    <col min="12295" max="12295" width="11.7109375" style="284" customWidth="1"/>
    <col min="12296" max="12296" width="7.7109375" style="284" customWidth="1"/>
    <col min="12297" max="12297" width="15" style="284" customWidth="1"/>
    <col min="12298" max="12298" width="14.42578125" style="284" customWidth="1"/>
    <col min="12299" max="12299" width="9" style="284" customWidth="1"/>
    <col min="12300" max="12300" width="13.7109375" style="284" customWidth="1"/>
    <col min="12301" max="12301" width="12.140625" style="284" customWidth="1"/>
    <col min="12302" max="12302" width="10.5703125" style="284" customWidth="1"/>
    <col min="12303" max="12303" width="9.85546875" style="284" customWidth="1"/>
    <col min="12304" max="12304" width="14.28515625" style="284" customWidth="1"/>
    <col min="12305" max="12305" width="8.85546875" style="284" customWidth="1"/>
    <col min="12306" max="12306" width="12.7109375" style="284" customWidth="1"/>
    <col min="12307" max="12307" width="9.85546875" style="284" customWidth="1"/>
    <col min="12308" max="12308" width="9.7109375" style="284" customWidth="1"/>
    <col min="12309" max="12309" width="9.85546875" style="284" customWidth="1"/>
    <col min="12310" max="12310" width="8.28515625" style="284" customWidth="1"/>
    <col min="12311" max="12311" width="12.7109375" style="284" customWidth="1"/>
    <col min="12312" max="12312" width="11.42578125" style="284" customWidth="1"/>
    <col min="12313" max="12313" width="10.140625" style="284" customWidth="1"/>
    <col min="12314" max="12314" width="13.28515625" style="284" customWidth="1"/>
    <col min="12315" max="12315" width="14.85546875" style="284" customWidth="1"/>
    <col min="12316" max="12316" width="15.42578125" style="284" customWidth="1"/>
    <col min="12317" max="12317" width="12.7109375" style="284" customWidth="1"/>
    <col min="12318" max="12318" width="14" style="284" customWidth="1"/>
    <col min="12319" max="12319" width="14.28515625" style="284" customWidth="1"/>
    <col min="12320" max="12321" width="13.7109375" style="284" customWidth="1"/>
    <col min="12322" max="12322" width="14.140625" style="284" customWidth="1"/>
    <col min="12323" max="12544" width="9.140625" style="284"/>
    <col min="12545" max="12545" width="4.140625" style="284" customWidth="1"/>
    <col min="12546" max="12546" width="33.28515625" style="284" customWidth="1"/>
    <col min="12547" max="12547" width="8.85546875" style="284" customWidth="1"/>
    <col min="12548" max="12548" width="11.140625" style="284" customWidth="1"/>
    <col min="12549" max="12549" width="7.85546875" style="284" customWidth="1"/>
    <col min="12550" max="12550" width="12.5703125" style="284" customWidth="1"/>
    <col min="12551" max="12551" width="11.7109375" style="284" customWidth="1"/>
    <col min="12552" max="12552" width="7.7109375" style="284" customWidth="1"/>
    <col min="12553" max="12553" width="15" style="284" customWidth="1"/>
    <col min="12554" max="12554" width="14.42578125" style="284" customWidth="1"/>
    <col min="12555" max="12555" width="9" style="284" customWidth="1"/>
    <col min="12556" max="12556" width="13.7109375" style="284" customWidth="1"/>
    <col min="12557" max="12557" width="12.140625" style="284" customWidth="1"/>
    <col min="12558" max="12558" width="10.5703125" style="284" customWidth="1"/>
    <col min="12559" max="12559" width="9.85546875" style="284" customWidth="1"/>
    <col min="12560" max="12560" width="14.28515625" style="284" customWidth="1"/>
    <col min="12561" max="12561" width="8.85546875" style="284" customWidth="1"/>
    <col min="12562" max="12562" width="12.7109375" style="284" customWidth="1"/>
    <col min="12563" max="12563" width="9.85546875" style="284" customWidth="1"/>
    <col min="12564" max="12564" width="9.7109375" style="284" customWidth="1"/>
    <col min="12565" max="12565" width="9.85546875" style="284" customWidth="1"/>
    <col min="12566" max="12566" width="8.28515625" style="284" customWidth="1"/>
    <col min="12567" max="12567" width="12.7109375" style="284" customWidth="1"/>
    <col min="12568" max="12568" width="11.42578125" style="284" customWidth="1"/>
    <col min="12569" max="12569" width="10.140625" style="284" customWidth="1"/>
    <col min="12570" max="12570" width="13.28515625" style="284" customWidth="1"/>
    <col min="12571" max="12571" width="14.85546875" style="284" customWidth="1"/>
    <col min="12572" max="12572" width="15.42578125" style="284" customWidth="1"/>
    <col min="12573" max="12573" width="12.7109375" style="284" customWidth="1"/>
    <col min="12574" max="12574" width="14" style="284" customWidth="1"/>
    <col min="12575" max="12575" width="14.28515625" style="284" customWidth="1"/>
    <col min="12576" max="12577" width="13.7109375" style="284" customWidth="1"/>
    <col min="12578" max="12578" width="14.140625" style="284" customWidth="1"/>
    <col min="12579" max="12800" width="9.140625" style="284"/>
    <col min="12801" max="12801" width="4.140625" style="284" customWidth="1"/>
    <col min="12802" max="12802" width="33.28515625" style="284" customWidth="1"/>
    <col min="12803" max="12803" width="8.85546875" style="284" customWidth="1"/>
    <col min="12804" max="12804" width="11.140625" style="284" customWidth="1"/>
    <col min="12805" max="12805" width="7.85546875" style="284" customWidth="1"/>
    <col min="12806" max="12806" width="12.5703125" style="284" customWidth="1"/>
    <col min="12807" max="12807" width="11.7109375" style="284" customWidth="1"/>
    <col min="12808" max="12808" width="7.7109375" style="284" customWidth="1"/>
    <col min="12809" max="12809" width="15" style="284" customWidth="1"/>
    <col min="12810" max="12810" width="14.42578125" style="284" customWidth="1"/>
    <col min="12811" max="12811" width="9" style="284" customWidth="1"/>
    <col min="12812" max="12812" width="13.7109375" style="284" customWidth="1"/>
    <col min="12813" max="12813" width="12.140625" style="284" customWidth="1"/>
    <col min="12814" max="12814" width="10.5703125" style="284" customWidth="1"/>
    <col min="12815" max="12815" width="9.85546875" style="284" customWidth="1"/>
    <col min="12816" max="12816" width="14.28515625" style="284" customWidth="1"/>
    <col min="12817" max="12817" width="8.85546875" style="284" customWidth="1"/>
    <col min="12818" max="12818" width="12.7109375" style="284" customWidth="1"/>
    <col min="12819" max="12819" width="9.85546875" style="284" customWidth="1"/>
    <col min="12820" max="12820" width="9.7109375" style="284" customWidth="1"/>
    <col min="12821" max="12821" width="9.85546875" style="284" customWidth="1"/>
    <col min="12822" max="12822" width="8.28515625" style="284" customWidth="1"/>
    <col min="12823" max="12823" width="12.7109375" style="284" customWidth="1"/>
    <col min="12824" max="12824" width="11.42578125" style="284" customWidth="1"/>
    <col min="12825" max="12825" width="10.140625" style="284" customWidth="1"/>
    <col min="12826" max="12826" width="13.28515625" style="284" customWidth="1"/>
    <col min="12827" max="12827" width="14.85546875" style="284" customWidth="1"/>
    <col min="12828" max="12828" width="15.42578125" style="284" customWidth="1"/>
    <col min="12829" max="12829" width="12.7109375" style="284" customWidth="1"/>
    <col min="12830" max="12830" width="14" style="284" customWidth="1"/>
    <col min="12831" max="12831" width="14.28515625" style="284" customWidth="1"/>
    <col min="12832" max="12833" width="13.7109375" style="284" customWidth="1"/>
    <col min="12834" max="12834" width="14.140625" style="284" customWidth="1"/>
    <col min="12835" max="13056" width="9.140625" style="284"/>
    <col min="13057" max="13057" width="4.140625" style="284" customWidth="1"/>
    <col min="13058" max="13058" width="33.28515625" style="284" customWidth="1"/>
    <col min="13059" max="13059" width="8.85546875" style="284" customWidth="1"/>
    <col min="13060" max="13060" width="11.140625" style="284" customWidth="1"/>
    <col min="13061" max="13061" width="7.85546875" style="284" customWidth="1"/>
    <col min="13062" max="13062" width="12.5703125" style="284" customWidth="1"/>
    <col min="13063" max="13063" width="11.7109375" style="284" customWidth="1"/>
    <col min="13064" max="13064" width="7.7109375" style="284" customWidth="1"/>
    <col min="13065" max="13065" width="15" style="284" customWidth="1"/>
    <col min="13066" max="13066" width="14.42578125" style="284" customWidth="1"/>
    <col min="13067" max="13067" width="9" style="284" customWidth="1"/>
    <col min="13068" max="13068" width="13.7109375" style="284" customWidth="1"/>
    <col min="13069" max="13069" width="12.140625" style="284" customWidth="1"/>
    <col min="13070" max="13070" width="10.5703125" style="284" customWidth="1"/>
    <col min="13071" max="13071" width="9.85546875" style="284" customWidth="1"/>
    <col min="13072" max="13072" width="14.28515625" style="284" customWidth="1"/>
    <col min="13073" max="13073" width="8.85546875" style="284" customWidth="1"/>
    <col min="13074" max="13074" width="12.7109375" style="284" customWidth="1"/>
    <col min="13075" max="13075" width="9.85546875" style="284" customWidth="1"/>
    <col min="13076" max="13076" width="9.7109375" style="284" customWidth="1"/>
    <col min="13077" max="13077" width="9.85546875" style="284" customWidth="1"/>
    <col min="13078" max="13078" width="8.28515625" style="284" customWidth="1"/>
    <col min="13079" max="13079" width="12.7109375" style="284" customWidth="1"/>
    <col min="13080" max="13080" width="11.42578125" style="284" customWidth="1"/>
    <col min="13081" max="13081" width="10.140625" style="284" customWidth="1"/>
    <col min="13082" max="13082" width="13.28515625" style="284" customWidth="1"/>
    <col min="13083" max="13083" width="14.85546875" style="284" customWidth="1"/>
    <col min="13084" max="13084" width="15.42578125" style="284" customWidth="1"/>
    <col min="13085" max="13085" width="12.7109375" style="284" customWidth="1"/>
    <col min="13086" max="13086" width="14" style="284" customWidth="1"/>
    <col min="13087" max="13087" width="14.28515625" style="284" customWidth="1"/>
    <col min="13088" max="13089" width="13.7109375" style="284" customWidth="1"/>
    <col min="13090" max="13090" width="14.140625" style="284" customWidth="1"/>
    <col min="13091" max="13312" width="9.140625" style="284"/>
    <col min="13313" max="13313" width="4.140625" style="284" customWidth="1"/>
    <col min="13314" max="13314" width="33.28515625" style="284" customWidth="1"/>
    <col min="13315" max="13315" width="8.85546875" style="284" customWidth="1"/>
    <col min="13316" max="13316" width="11.140625" style="284" customWidth="1"/>
    <col min="13317" max="13317" width="7.85546875" style="284" customWidth="1"/>
    <col min="13318" max="13318" width="12.5703125" style="284" customWidth="1"/>
    <col min="13319" max="13319" width="11.7109375" style="284" customWidth="1"/>
    <col min="13320" max="13320" width="7.7109375" style="284" customWidth="1"/>
    <col min="13321" max="13321" width="15" style="284" customWidth="1"/>
    <col min="13322" max="13322" width="14.42578125" style="284" customWidth="1"/>
    <col min="13323" max="13323" width="9" style="284" customWidth="1"/>
    <col min="13324" max="13324" width="13.7109375" style="284" customWidth="1"/>
    <col min="13325" max="13325" width="12.140625" style="284" customWidth="1"/>
    <col min="13326" max="13326" width="10.5703125" style="284" customWidth="1"/>
    <col min="13327" max="13327" width="9.85546875" style="284" customWidth="1"/>
    <col min="13328" max="13328" width="14.28515625" style="284" customWidth="1"/>
    <col min="13329" max="13329" width="8.85546875" style="284" customWidth="1"/>
    <col min="13330" max="13330" width="12.7109375" style="284" customWidth="1"/>
    <col min="13331" max="13331" width="9.85546875" style="284" customWidth="1"/>
    <col min="13332" max="13332" width="9.7109375" style="284" customWidth="1"/>
    <col min="13333" max="13333" width="9.85546875" style="284" customWidth="1"/>
    <col min="13334" max="13334" width="8.28515625" style="284" customWidth="1"/>
    <col min="13335" max="13335" width="12.7109375" style="284" customWidth="1"/>
    <col min="13336" max="13336" width="11.42578125" style="284" customWidth="1"/>
    <col min="13337" max="13337" width="10.140625" style="284" customWidth="1"/>
    <col min="13338" max="13338" width="13.28515625" style="284" customWidth="1"/>
    <col min="13339" max="13339" width="14.85546875" style="284" customWidth="1"/>
    <col min="13340" max="13340" width="15.42578125" style="284" customWidth="1"/>
    <col min="13341" max="13341" width="12.7109375" style="284" customWidth="1"/>
    <col min="13342" max="13342" width="14" style="284" customWidth="1"/>
    <col min="13343" max="13343" width="14.28515625" style="284" customWidth="1"/>
    <col min="13344" max="13345" width="13.7109375" style="284" customWidth="1"/>
    <col min="13346" max="13346" width="14.140625" style="284" customWidth="1"/>
    <col min="13347" max="13568" width="9.140625" style="284"/>
    <col min="13569" max="13569" width="4.140625" style="284" customWidth="1"/>
    <col min="13570" max="13570" width="33.28515625" style="284" customWidth="1"/>
    <col min="13571" max="13571" width="8.85546875" style="284" customWidth="1"/>
    <col min="13572" max="13572" width="11.140625" style="284" customWidth="1"/>
    <col min="13573" max="13573" width="7.85546875" style="284" customWidth="1"/>
    <col min="13574" max="13574" width="12.5703125" style="284" customWidth="1"/>
    <col min="13575" max="13575" width="11.7109375" style="284" customWidth="1"/>
    <col min="13576" max="13576" width="7.7109375" style="284" customWidth="1"/>
    <col min="13577" max="13577" width="15" style="284" customWidth="1"/>
    <col min="13578" max="13578" width="14.42578125" style="284" customWidth="1"/>
    <col min="13579" max="13579" width="9" style="284" customWidth="1"/>
    <col min="13580" max="13580" width="13.7109375" style="284" customWidth="1"/>
    <col min="13581" max="13581" width="12.140625" style="284" customWidth="1"/>
    <col min="13582" max="13582" width="10.5703125" style="284" customWidth="1"/>
    <col min="13583" max="13583" width="9.85546875" style="284" customWidth="1"/>
    <col min="13584" max="13584" width="14.28515625" style="284" customWidth="1"/>
    <col min="13585" max="13585" width="8.85546875" style="284" customWidth="1"/>
    <col min="13586" max="13586" width="12.7109375" style="284" customWidth="1"/>
    <col min="13587" max="13587" width="9.85546875" style="284" customWidth="1"/>
    <col min="13588" max="13588" width="9.7109375" style="284" customWidth="1"/>
    <col min="13589" max="13589" width="9.85546875" style="284" customWidth="1"/>
    <col min="13590" max="13590" width="8.28515625" style="284" customWidth="1"/>
    <col min="13591" max="13591" width="12.7109375" style="284" customWidth="1"/>
    <col min="13592" max="13592" width="11.42578125" style="284" customWidth="1"/>
    <col min="13593" max="13593" width="10.140625" style="284" customWidth="1"/>
    <col min="13594" max="13594" width="13.28515625" style="284" customWidth="1"/>
    <col min="13595" max="13595" width="14.85546875" style="284" customWidth="1"/>
    <col min="13596" max="13596" width="15.42578125" style="284" customWidth="1"/>
    <col min="13597" max="13597" width="12.7109375" style="284" customWidth="1"/>
    <col min="13598" max="13598" width="14" style="284" customWidth="1"/>
    <col min="13599" max="13599" width="14.28515625" style="284" customWidth="1"/>
    <col min="13600" max="13601" width="13.7109375" style="284" customWidth="1"/>
    <col min="13602" max="13602" width="14.140625" style="284" customWidth="1"/>
    <col min="13603" max="13824" width="9.140625" style="284"/>
    <col min="13825" max="13825" width="4.140625" style="284" customWidth="1"/>
    <col min="13826" max="13826" width="33.28515625" style="284" customWidth="1"/>
    <col min="13827" max="13827" width="8.85546875" style="284" customWidth="1"/>
    <col min="13828" max="13828" width="11.140625" style="284" customWidth="1"/>
    <col min="13829" max="13829" width="7.85546875" style="284" customWidth="1"/>
    <col min="13830" max="13830" width="12.5703125" style="284" customWidth="1"/>
    <col min="13831" max="13831" width="11.7109375" style="284" customWidth="1"/>
    <col min="13832" max="13832" width="7.7109375" style="284" customWidth="1"/>
    <col min="13833" max="13833" width="15" style="284" customWidth="1"/>
    <col min="13834" max="13834" width="14.42578125" style="284" customWidth="1"/>
    <col min="13835" max="13835" width="9" style="284" customWidth="1"/>
    <col min="13836" max="13836" width="13.7109375" style="284" customWidth="1"/>
    <col min="13837" max="13837" width="12.140625" style="284" customWidth="1"/>
    <col min="13838" max="13838" width="10.5703125" style="284" customWidth="1"/>
    <col min="13839" max="13839" width="9.85546875" style="284" customWidth="1"/>
    <col min="13840" max="13840" width="14.28515625" style="284" customWidth="1"/>
    <col min="13841" max="13841" width="8.85546875" style="284" customWidth="1"/>
    <col min="13842" max="13842" width="12.7109375" style="284" customWidth="1"/>
    <col min="13843" max="13843" width="9.85546875" style="284" customWidth="1"/>
    <col min="13844" max="13844" width="9.7109375" style="284" customWidth="1"/>
    <col min="13845" max="13845" width="9.85546875" style="284" customWidth="1"/>
    <col min="13846" max="13846" width="8.28515625" style="284" customWidth="1"/>
    <col min="13847" max="13847" width="12.7109375" style="284" customWidth="1"/>
    <col min="13848" max="13848" width="11.42578125" style="284" customWidth="1"/>
    <col min="13849" max="13849" width="10.140625" style="284" customWidth="1"/>
    <col min="13850" max="13850" width="13.28515625" style="284" customWidth="1"/>
    <col min="13851" max="13851" width="14.85546875" style="284" customWidth="1"/>
    <col min="13852" max="13852" width="15.42578125" style="284" customWidth="1"/>
    <col min="13853" max="13853" width="12.7109375" style="284" customWidth="1"/>
    <col min="13854" max="13854" width="14" style="284" customWidth="1"/>
    <col min="13855" max="13855" width="14.28515625" style="284" customWidth="1"/>
    <col min="13856" max="13857" width="13.7109375" style="284" customWidth="1"/>
    <col min="13858" max="13858" width="14.140625" style="284" customWidth="1"/>
    <col min="13859" max="14080" width="9.140625" style="284"/>
    <col min="14081" max="14081" width="4.140625" style="284" customWidth="1"/>
    <col min="14082" max="14082" width="33.28515625" style="284" customWidth="1"/>
    <col min="14083" max="14083" width="8.85546875" style="284" customWidth="1"/>
    <col min="14084" max="14084" width="11.140625" style="284" customWidth="1"/>
    <col min="14085" max="14085" width="7.85546875" style="284" customWidth="1"/>
    <col min="14086" max="14086" width="12.5703125" style="284" customWidth="1"/>
    <col min="14087" max="14087" width="11.7109375" style="284" customWidth="1"/>
    <col min="14088" max="14088" width="7.7109375" style="284" customWidth="1"/>
    <col min="14089" max="14089" width="15" style="284" customWidth="1"/>
    <col min="14090" max="14090" width="14.42578125" style="284" customWidth="1"/>
    <col min="14091" max="14091" width="9" style="284" customWidth="1"/>
    <col min="14092" max="14092" width="13.7109375" style="284" customWidth="1"/>
    <col min="14093" max="14093" width="12.140625" style="284" customWidth="1"/>
    <col min="14094" max="14094" width="10.5703125" style="284" customWidth="1"/>
    <col min="14095" max="14095" width="9.85546875" style="284" customWidth="1"/>
    <col min="14096" max="14096" width="14.28515625" style="284" customWidth="1"/>
    <col min="14097" max="14097" width="8.85546875" style="284" customWidth="1"/>
    <col min="14098" max="14098" width="12.7109375" style="284" customWidth="1"/>
    <col min="14099" max="14099" width="9.85546875" style="284" customWidth="1"/>
    <col min="14100" max="14100" width="9.7109375" style="284" customWidth="1"/>
    <col min="14101" max="14101" width="9.85546875" style="284" customWidth="1"/>
    <col min="14102" max="14102" width="8.28515625" style="284" customWidth="1"/>
    <col min="14103" max="14103" width="12.7109375" style="284" customWidth="1"/>
    <col min="14104" max="14104" width="11.42578125" style="284" customWidth="1"/>
    <col min="14105" max="14105" width="10.140625" style="284" customWidth="1"/>
    <col min="14106" max="14106" width="13.28515625" style="284" customWidth="1"/>
    <col min="14107" max="14107" width="14.85546875" style="284" customWidth="1"/>
    <col min="14108" max="14108" width="15.42578125" style="284" customWidth="1"/>
    <col min="14109" max="14109" width="12.7109375" style="284" customWidth="1"/>
    <col min="14110" max="14110" width="14" style="284" customWidth="1"/>
    <col min="14111" max="14111" width="14.28515625" style="284" customWidth="1"/>
    <col min="14112" max="14113" width="13.7109375" style="284" customWidth="1"/>
    <col min="14114" max="14114" width="14.140625" style="284" customWidth="1"/>
    <col min="14115" max="14336" width="9.140625" style="284"/>
    <col min="14337" max="14337" width="4.140625" style="284" customWidth="1"/>
    <col min="14338" max="14338" width="33.28515625" style="284" customWidth="1"/>
    <col min="14339" max="14339" width="8.85546875" style="284" customWidth="1"/>
    <col min="14340" max="14340" width="11.140625" style="284" customWidth="1"/>
    <col min="14341" max="14341" width="7.85546875" style="284" customWidth="1"/>
    <col min="14342" max="14342" width="12.5703125" style="284" customWidth="1"/>
    <col min="14343" max="14343" width="11.7109375" style="284" customWidth="1"/>
    <col min="14344" max="14344" width="7.7109375" style="284" customWidth="1"/>
    <col min="14345" max="14345" width="15" style="284" customWidth="1"/>
    <col min="14346" max="14346" width="14.42578125" style="284" customWidth="1"/>
    <col min="14347" max="14347" width="9" style="284" customWidth="1"/>
    <col min="14348" max="14348" width="13.7109375" style="284" customWidth="1"/>
    <col min="14349" max="14349" width="12.140625" style="284" customWidth="1"/>
    <col min="14350" max="14350" width="10.5703125" style="284" customWidth="1"/>
    <col min="14351" max="14351" width="9.85546875" style="284" customWidth="1"/>
    <col min="14352" max="14352" width="14.28515625" style="284" customWidth="1"/>
    <col min="14353" max="14353" width="8.85546875" style="284" customWidth="1"/>
    <col min="14354" max="14354" width="12.7109375" style="284" customWidth="1"/>
    <col min="14355" max="14355" width="9.85546875" style="284" customWidth="1"/>
    <col min="14356" max="14356" width="9.7109375" style="284" customWidth="1"/>
    <col min="14357" max="14357" width="9.85546875" style="284" customWidth="1"/>
    <col min="14358" max="14358" width="8.28515625" style="284" customWidth="1"/>
    <col min="14359" max="14359" width="12.7109375" style="284" customWidth="1"/>
    <col min="14360" max="14360" width="11.42578125" style="284" customWidth="1"/>
    <col min="14361" max="14361" width="10.140625" style="284" customWidth="1"/>
    <col min="14362" max="14362" width="13.28515625" style="284" customWidth="1"/>
    <col min="14363" max="14363" width="14.85546875" style="284" customWidth="1"/>
    <col min="14364" max="14364" width="15.42578125" style="284" customWidth="1"/>
    <col min="14365" max="14365" width="12.7109375" style="284" customWidth="1"/>
    <col min="14366" max="14366" width="14" style="284" customWidth="1"/>
    <col min="14367" max="14367" width="14.28515625" style="284" customWidth="1"/>
    <col min="14368" max="14369" width="13.7109375" style="284" customWidth="1"/>
    <col min="14370" max="14370" width="14.140625" style="284" customWidth="1"/>
    <col min="14371" max="14592" width="9.140625" style="284"/>
    <col min="14593" max="14593" width="4.140625" style="284" customWidth="1"/>
    <col min="14594" max="14594" width="33.28515625" style="284" customWidth="1"/>
    <col min="14595" max="14595" width="8.85546875" style="284" customWidth="1"/>
    <col min="14596" max="14596" width="11.140625" style="284" customWidth="1"/>
    <col min="14597" max="14597" width="7.85546875" style="284" customWidth="1"/>
    <col min="14598" max="14598" width="12.5703125" style="284" customWidth="1"/>
    <col min="14599" max="14599" width="11.7109375" style="284" customWidth="1"/>
    <col min="14600" max="14600" width="7.7109375" style="284" customWidth="1"/>
    <col min="14601" max="14601" width="15" style="284" customWidth="1"/>
    <col min="14602" max="14602" width="14.42578125" style="284" customWidth="1"/>
    <col min="14603" max="14603" width="9" style="284" customWidth="1"/>
    <col min="14604" max="14604" width="13.7109375" style="284" customWidth="1"/>
    <col min="14605" max="14605" width="12.140625" style="284" customWidth="1"/>
    <col min="14606" max="14606" width="10.5703125" style="284" customWidth="1"/>
    <col min="14607" max="14607" width="9.85546875" style="284" customWidth="1"/>
    <col min="14608" max="14608" width="14.28515625" style="284" customWidth="1"/>
    <col min="14609" max="14609" width="8.85546875" style="284" customWidth="1"/>
    <col min="14610" max="14610" width="12.7109375" style="284" customWidth="1"/>
    <col min="14611" max="14611" width="9.85546875" style="284" customWidth="1"/>
    <col min="14612" max="14612" width="9.7109375" style="284" customWidth="1"/>
    <col min="14613" max="14613" width="9.85546875" style="284" customWidth="1"/>
    <col min="14614" max="14614" width="8.28515625" style="284" customWidth="1"/>
    <col min="14615" max="14615" width="12.7109375" style="284" customWidth="1"/>
    <col min="14616" max="14616" width="11.42578125" style="284" customWidth="1"/>
    <col min="14617" max="14617" width="10.140625" style="284" customWidth="1"/>
    <col min="14618" max="14618" width="13.28515625" style="284" customWidth="1"/>
    <col min="14619" max="14619" width="14.85546875" style="284" customWidth="1"/>
    <col min="14620" max="14620" width="15.42578125" style="284" customWidth="1"/>
    <col min="14621" max="14621" width="12.7109375" style="284" customWidth="1"/>
    <col min="14622" max="14622" width="14" style="284" customWidth="1"/>
    <col min="14623" max="14623" width="14.28515625" style="284" customWidth="1"/>
    <col min="14624" max="14625" width="13.7109375" style="284" customWidth="1"/>
    <col min="14626" max="14626" width="14.140625" style="284" customWidth="1"/>
    <col min="14627" max="14848" width="9.140625" style="284"/>
    <col min="14849" max="14849" width="4.140625" style="284" customWidth="1"/>
    <col min="14850" max="14850" width="33.28515625" style="284" customWidth="1"/>
    <col min="14851" max="14851" width="8.85546875" style="284" customWidth="1"/>
    <col min="14852" max="14852" width="11.140625" style="284" customWidth="1"/>
    <col min="14853" max="14853" width="7.85546875" style="284" customWidth="1"/>
    <col min="14854" max="14854" width="12.5703125" style="284" customWidth="1"/>
    <col min="14855" max="14855" width="11.7109375" style="284" customWidth="1"/>
    <col min="14856" max="14856" width="7.7109375" style="284" customWidth="1"/>
    <col min="14857" max="14857" width="15" style="284" customWidth="1"/>
    <col min="14858" max="14858" width="14.42578125" style="284" customWidth="1"/>
    <col min="14859" max="14859" width="9" style="284" customWidth="1"/>
    <col min="14860" max="14860" width="13.7109375" style="284" customWidth="1"/>
    <col min="14861" max="14861" width="12.140625" style="284" customWidth="1"/>
    <col min="14862" max="14862" width="10.5703125" style="284" customWidth="1"/>
    <col min="14863" max="14863" width="9.85546875" style="284" customWidth="1"/>
    <col min="14864" max="14864" width="14.28515625" style="284" customWidth="1"/>
    <col min="14865" max="14865" width="8.85546875" style="284" customWidth="1"/>
    <col min="14866" max="14866" width="12.7109375" style="284" customWidth="1"/>
    <col min="14867" max="14867" width="9.85546875" style="284" customWidth="1"/>
    <col min="14868" max="14868" width="9.7109375" style="284" customWidth="1"/>
    <col min="14869" max="14869" width="9.85546875" style="284" customWidth="1"/>
    <col min="14870" max="14870" width="8.28515625" style="284" customWidth="1"/>
    <col min="14871" max="14871" width="12.7109375" style="284" customWidth="1"/>
    <col min="14872" max="14872" width="11.42578125" style="284" customWidth="1"/>
    <col min="14873" max="14873" width="10.140625" style="284" customWidth="1"/>
    <col min="14874" max="14874" width="13.28515625" style="284" customWidth="1"/>
    <col min="14875" max="14875" width="14.85546875" style="284" customWidth="1"/>
    <col min="14876" max="14876" width="15.42578125" style="284" customWidth="1"/>
    <col min="14877" max="14877" width="12.7109375" style="284" customWidth="1"/>
    <col min="14878" max="14878" width="14" style="284" customWidth="1"/>
    <col min="14879" max="14879" width="14.28515625" style="284" customWidth="1"/>
    <col min="14880" max="14881" width="13.7109375" style="284" customWidth="1"/>
    <col min="14882" max="14882" width="14.140625" style="284" customWidth="1"/>
    <col min="14883" max="15104" width="9.140625" style="284"/>
    <col min="15105" max="15105" width="4.140625" style="284" customWidth="1"/>
    <col min="15106" max="15106" width="33.28515625" style="284" customWidth="1"/>
    <col min="15107" max="15107" width="8.85546875" style="284" customWidth="1"/>
    <col min="15108" max="15108" width="11.140625" style="284" customWidth="1"/>
    <col min="15109" max="15109" width="7.85546875" style="284" customWidth="1"/>
    <col min="15110" max="15110" width="12.5703125" style="284" customWidth="1"/>
    <col min="15111" max="15111" width="11.7109375" style="284" customWidth="1"/>
    <col min="15112" max="15112" width="7.7109375" style="284" customWidth="1"/>
    <col min="15113" max="15113" width="15" style="284" customWidth="1"/>
    <col min="15114" max="15114" width="14.42578125" style="284" customWidth="1"/>
    <col min="15115" max="15115" width="9" style="284" customWidth="1"/>
    <col min="15116" max="15116" width="13.7109375" style="284" customWidth="1"/>
    <col min="15117" max="15117" width="12.140625" style="284" customWidth="1"/>
    <col min="15118" max="15118" width="10.5703125" style="284" customWidth="1"/>
    <col min="15119" max="15119" width="9.85546875" style="284" customWidth="1"/>
    <col min="15120" max="15120" width="14.28515625" style="284" customWidth="1"/>
    <col min="15121" max="15121" width="8.85546875" style="284" customWidth="1"/>
    <col min="15122" max="15122" width="12.7109375" style="284" customWidth="1"/>
    <col min="15123" max="15123" width="9.85546875" style="284" customWidth="1"/>
    <col min="15124" max="15124" width="9.7109375" style="284" customWidth="1"/>
    <col min="15125" max="15125" width="9.85546875" style="284" customWidth="1"/>
    <col min="15126" max="15126" width="8.28515625" style="284" customWidth="1"/>
    <col min="15127" max="15127" width="12.7109375" style="284" customWidth="1"/>
    <col min="15128" max="15128" width="11.42578125" style="284" customWidth="1"/>
    <col min="15129" max="15129" width="10.140625" style="284" customWidth="1"/>
    <col min="15130" max="15130" width="13.28515625" style="284" customWidth="1"/>
    <col min="15131" max="15131" width="14.85546875" style="284" customWidth="1"/>
    <col min="15132" max="15132" width="15.42578125" style="284" customWidth="1"/>
    <col min="15133" max="15133" width="12.7109375" style="284" customWidth="1"/>
    <col min="15134" max="15134" width="14" style="284" customWidth="1"/>
    <col min="15135" max="15135" width="14.28515625" style="284" customWidth="1"/>
    <col min="15136" max="15137" width="13.7109375" style="284" customWidth="1"/>
    <col min="15138" max="15138" width="14.140625" style="284" customWidth="1"/>
    <col min="15139" max="15360" width="9.140625" style="284"/>
    <col min="15361" max="15361" width="4.140625" style="284" customWidth="1"/>
    <col min="15362" max="15362" width="33.28515625" style="284" customWidth="1"/>
    <col min="15363" max="15363" width="8.85546875" style="284" customWidth="1"/>
    <col min="15364" max="15364" width="11.140625" style="284" customWidth="1"/>
    <col min="15365" max="15365" width="7.85546875" style="284" customWidth="1"/>
    <col min="15366" max="15366" width="12.5703125" style="284" customWidth="1"/>
    <col min="15367" max="15367" width="11.7109375" style="284" customWidth="1"/>
    <col min="15368" max="15368" width="7.7109375" style="284" customWidth="1"/>
    <col min="15369" max="15369" width="15" style="284" customWidth="1"/>
    <col min="15370" max="15370" width="14.42578125" style="284" customWidth="1"/>
    <col min="15371" max="15371" width="9" style="284" customWidth="1"/>
    <col min="15372" max="15372" width="13.7109375" style="284" customWidth="1"/>
    <col min="15373" max="15373" width="12.140625" style="284" customWidth="1"/>
    <col min="15374" max="15374" width="10.5703125" style="284" customWidth="1"/>
    <col min="15375" max="15375" width="9.85546875" style="284" customWidth="1"/>
    <col min="15376" max="15376" width="14.28515625" style="284" customWidth="1"/>
    <col min="15377" max="15377" width="8.85546875" style="284" customWidth="1"/>
    <col min="15378" max="15378" width="12.7109375" style="284" customWidth="1"/>
    <col min="15379" max="15379" width="9.85546875" style="284" customWidth="1"/>
    <col min="15380" max="15380" width="9.7109375" style="284" customWidth="1"/>
    <col min="15381" max="15381" width="9.85546875" style="284" customWidth="1"/>
    <col min="15382" max="15382" width="8.28515625" style="284" customWidth="1"/>
    <col min="15383" max="15383" width="12.7109375" style="284" customWidth="1"/>
    <col min="15384" max="15384" width="11.42578125" style="284" customWidth="1"/>
    <col min="15385" max="15385" width="10.140625" style="284" customWidth="1"/>
    <col min="15386" max="15386" width="13.28515625" style="284" customWidth="1"/>
    <col min="15387" max="15387" width="14.85546875" style="284" customWidth="1"/>
    <col min="15388" max="15388" width="15.42578125" style="284" customWidth="1"/>
    <col min="15389" max="15389" width="12.7109375" style="284" customWidth="1"/>
    <col min="15390" max="15390" width="14" style="284" customWidth="1"/>
    <col min="15391" max="15391" width="14.28515625" style="284" customWidth="1"/>
    <col min="15392" max="15393" width="13.7109375" style="284" customWidth="1"/>
    <col min="15394" max="15394" width="14.140625" style="284" customWidth="1"/>
    <col min="15395" max="15616" width="9.140625" style="284"/>
    <col min="15617" max="15617" width="4.140625" style="284" customWidth="1"/>
    <col min="15618" max="15618" width="33.28515625" style="284" customWidth="1"/>
    <col min="15619" max="15619" width="8.85546875" style="284" customWidth="1"/>
    <col min="15620" max="15620" width="11.140625" style="284" customWidth="1"/>
    <col min="15621" max="15621" width="7.85546875" style="284" customWidth="1"/>
    <col min="15622" max="15622" width="12.5703125" style="284" customWidth="1"/>
    <col min="15623" max="15623" width="11.7109375" style="284" customWidth="1"/>
    <col min="15624" max="15624" width="7.7109375" style="284" customWidth="1"/>
    <col min="15625" max="15625" width="15" style="284" customWidth="1"/>
    <col min="15626" max="15626" width="14.42578125" style="284" customWidth="1"/>
    <col min="15627" max="15627" width="9" style="284" customWidth="1"/>
    <col min="15628" max="15628" width="13.7109375" style="284" customWidth="1"/>
    <col min="15629" max="15629" width="12.140625" style="284" customWidth="1"/>
    <col min="15630" max="15630" width="10.5703125" style="284" customWidth="1"/>
    <col min="15631" max="15631" width="9.85546875" style="284" customWidth="1"/>
    <col min="15632" max="15632" width="14.28515625" style="284" customWidth="1"/>
    <col min="15633" max="15633" width="8.85546875" style="284" customWidth="1"/>
    <col min="15634" max="15634" width="12.7109375" style="284" customWidth="1"/>
    <col min="15635" max="15635" width="9.85546875" style="284" customWidth="1"/>
    <col min="15636" max="15636" width="9.7109375" style="284" customWidth="1"/>
    <col min="15637" max="15637" width="9.85546875" style="284" customWidth="1"/>
    <col min="15638" max="15638" width="8.28515625" style="284" customWidth="1"/>
    <col min="15639" max="15639" width="12.7109375" style="284" customWidth="1"/>
    <col min="15640" max="15640" width="11.42578125" style="284" customWidth="1"/>
    <col min="15641" max="15641" width="10.140625" style="284" customWidth="1"/>
    <col min="15642" max="15642" width="13.28515625" style="284" customWidth="1"/>
    <col min="15643" max="15643" width="14.85546875" style="284" customWidth="1"/>
    <col min="15644" max="15644" width="15.42578125" style="284" customWidth="1"/>
    <col min="15645" max="15645" width="12.7109375" style="284" customWidth="1"/>
    <col min="15646" max="15646" width="14" style="284" customWidth="1"/>
    <col min="15647" max="15647" width="14.28515625" style="284" customWidth="1"/>
    <col min="15648" max="15649" width="13.7109375" style="284" customWidth="1"/>
    <col min="15650" max="15650" width="14.140625" style="284" customWidth="1"/>
    <col min="15651" max="15872" width="9.140625" style="284"/>
    <col min="15873" max="15873" width="4.140625" style="284" customWidth="1"/>
    <col min="15874" max="15874" width="33.28515625" style="284" customWidth="1"/>
    <col min="15875" max="15875" width="8.85546875" style="284" customWidth="1"/>
    <col min="15876" max="15876" width="11.140625" style="284" customWidth="1"/>
    <col min="15877" max="15877" width="7.85546875" style="284" customWidth="1"/>
    <col min="15878" max="15878" width="12.5703125" style="284" customWidth="1"/>
    <col min="15879" max="15879" width="11.7109375" style="284" customWidth="1"/>
    <col min="15880" max="15880" width="7.7109375" style="284" customWidth="1"/>
    <col min="15881" max="15881" width="15" style="284" customWidth="1"/>
    <col min="15882" max="15882" width="14.42578125" style="284" customWidth="1"/>
    <col min="15883" max="15883" width="9" style="284" customWidth="1"/>
    <col min="15884" max="15884" width="13.7109375" style="284" customWidth="1"/>
    <col min="15885" max="15885" width="12.140625" style="284" customWidth="1"/>
    <col min="15886" max="15886" width="10.5703125" style="284" customWidth="1"/>
    <col min="15887" max="15887" width="9.85546875" style="284" customWidth="1"/>
    <col min="15888" max="15888" width="14.28515625" style="284" customWidth="1"/>
    <col min="15889" max="15889" width="8.85546875" style="284" customWidth="1"/>
    <col min="15890" max="15890" width="12.7109375" style="284" customWidth="1"/>
    <col min="15891" max="15891" width="9.85546875" style="284" customWidth="1"/>
    <col min="15892" max="15892" width="9.7109375" style="284" customWidth="1"/>
    <col min="15893" max="15893" width="9.85546875" style="284" customWidth="1"/>
    <col min="15894" max="15894" width="8.28515625" style="284" customWidth="1"/>
    <col min="15895" max="15895" width="12.7109375" style="284" customWidth="1"/>
    <col min="15896" max="15896" width="11.42578125" style="284" customWidth="1"/>
    <col min="15897" max="15897" width="10.140625" style="284" customWidth="1"/>
    <col min="15898" max="15898" width="13.28515625" style="284" customWidth="1"/>
    <col min="15899" max="15899" width="14.85546875" style="284" customWidth="1"/>
    <col min="15900" max="15900" width="15.42578125" style="284" customWidth="1"/>
    <col min="15901" max="15901" width="12.7109375" style="284" customWidth="1"/>
    <col min="15902" max="15902" width="14" style="284" customWidth="1"/>
    <col min="15903" max="15903" width="14.28515625" style="284" customWidth="1"/>
    <col min="15904" max="15905" width="13.7109375" style="284" customWidth="1"/>
    <col min="15906" max="15906" width="14.140625" style="284" customWidth="1"/>
    <col min="15907" max="16128" width="9.140625" style="284"/>
    <col min="16129" max="16129" width="4.140625" style="284" customWidth="1"/>
    <col min="16130" max="16130" width="33.28515625" style="284" customWidth="1"/>
    <col min="16131" max="16131" width="8.85546875" style="284" customWidth="1"/>
    <col min="16132" max="16132" width="11.140625" style="284" customWidth="1"/>
    <col min="16133" max="16133" width="7.85546875" style="284" customWidth="1"/>
    <col min="16134" max="16134" width="12.5703125" style="284" customWidth="1"/>
    <col min="16135" max="16135" width="11.7109375" style="284" customWidth="1"/>
    <col min="16136" max="16136" width="7.7109375" style="284" customWidth="1"/>
    <col min="16137" max="16137" width="15" style="284" customWidth="1"/>
    <col min="16138" max="16138" width="14.42578125" style="284" customWidth="1"/>
    <col min="16139" max="16139" width="9" style="284" customWidth="1"/>
    <col min="16140" max="16140" width="13.7109375" style="284" customWidth="1"/>
    <col min="16141" max="16141" width="12.140625" style="284" customWidth="1"/>
    <col min="16142" max="16142" width="10.5703125" style="284" customWidth="1"/>
    <col min="16143" max="16143" width="9.85546875" style="284" customWidth="1"/>
    <col min="16144" max="16144" width="14.28515625" style="284" customWidth="1"/>
    <col min="16145" max="16145" width="8.85546875" style="284" customWidth="1"/>
    <col min="16146" max="16146" width="12.7109375" style="284" customWidth="1"/>
    <col min="16147" max="16147" width="9.85546875" style="284" customWidth="1"/>
    <col min="16148" max="16148" width="9.7109375" style="284" customWidth="1"/>
    <col min="16149" max="16149" width="9.85546875" style="284" customWidth="1"/>
    <col min="16150" max="16150" width="8.28515625" style="284" customWidth="1"/>
    <col min="16151" max="16151" width="12.7109375" style="284" customWidth="1"/>
    <col min="16152" max="16152" width="11.42578125" style="284" customWidth="1"/>
    <col min="16153" max="16153" width="10.140625" style="284" customWidth="1"/>
    <col min="16154" max="16154" width="13.28515625" style="284" customWidth="1"/>
    <col min="16155" max="16155" width="14.85546875" style="284" customWidth="1"/>
    <col min="16156" max="16156" width="15.42578125" style="284" customWidth="1"/>
    <col min="16157" max="16157" width="12.7109375" style="284" customWidth="1"/>
    <col min="16158" max="16158" width="14" style="284" customWidth="1"/>
    <col min="16159" max="16159" width="14.28515625" style="284" customWidth="1"/>
    <col min="16160" max="16161" width="13.7109375" style="284" customWidth="1"/>
    <col min="16162" max="16162" width="14.140625" style="284" customWidth="1"/>
    <col min="16163" max="16384" width="9.140625" style="284"/>
  </cols>
  <sheetData>
    <row r="1" spans="1:37" x14ac:dyDescent="0.2">
      <c r="C1" s="284" t="s">
        <v>683</v>
      </c>
    </row>
    <row r="2" spans="1:37" ht="15.75" x14ac:dyDescent="0.25">
      <c r="A2" s="285"/>
      <c r="B2" s="285"/>
      <c r="C2" s="285" t="s">
        <v>684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</row>
    <row r="3" spans="1:37" x14ac:dyDescent="0.2">
      <c r="A3" s="286"/>
      <c r="B3" s="287"/>
      <c r="C3" s="287"/>
      <c r="D3" s="287"/>
      <c r="AB3" s="286"/>
      <c r="AC3" s="286"/>
      <c r="AD3" s="286"/>
    </row>
    <row r="4" spans="1:37" x14ac:dyDescent="0.2">
      <c r="C4" s="284" t="s">
        <v>685</v>
      </c>
    </row>
    <row r="6" spans="1:37" ht="60.75" customHeight="1" x14ac:dyDescent="0.2">
      <c r="A6" s="661" t="s">
        <v>15</v>
      </c>
      <c r="B6" s="660" t="s">
        <v>161</v>
      </c>
      <c r="C6" s="660" t="s">
        <v>686</v>
      </c>
      <c r="D6" s="660" t="s">
        <v>687</v>
      </c>
      <c r="E6" s="660" t="s">
        <v>688</v>
      </c>
      <c r="F6" s="660"/>
      <c r="G6" s="660"/>
      <c r="H6" s="660" t="s">
        <v>689</v>
      </c>
      <c r="I6" s="660"/>
      <c r="J6" s="660"/>
      <c r="K6" s="660" t="s">
        <v>690</v>
      </c>
      <c r="L6" s="660"/>
      <c r="M6" s="660"/>
      <c r="N6" s="660" t="s">
        <v>691</v>
      </c>
      <c r="O6" s="660"/>
      <c r="P6" s="660"/>
      <c r="Q6" s="660" t="s">
        <v>692</v>
      </c>
      <c r="R6" s="660"/>
      <c r="S6" s="660"/>
      <c r="T6" s="660" t="s">
        <v>693</v>
      </c>
      <c r="U6" s="660"/>
      <c r="V6" s="660" t="s">
        <v>694</v>
      </c>
      <c r="W6" s="660"/>
      <c r="X6" s="660"/>
      <c r="Y6" s="660"/>
      <c r="Z6" s="660"/>
      <c r="AA6" s="660" t="s">
        <v>695</v>
      </c>
      <c r="AB6" s="660"/>
      <c r="AC6" s="660" t="s">
        <v>696</v>
      </c>
      <c r="AD6" s="660"/>
      <c r="AE6" s="660" t="s">
        <v>697</v>
      </c>
      <c r="AF6" s="660" t="s">
        <v>698</v>
      </c>
      <c r="AG6" s="660" t="s">
        <v>4</v>
      </c>
      <c r="AH6" s="660" t="s">
        <v>699</v>
      </c>
      <c r="AI6" s="660" t="s">
        <v>700</v>
      </c>
      <c r="AJ6" s="660" t="s">
        <v>701</v>
      </c>
      <c r="AK6" s="288"/>
    </row>
    <row r="7" spans="1:37" ht="54" customHeight="1" x14ac:dyDescent="0.2">
      <c r="A7" s="661"/>
      <c r="B7" s="660"/>
      <c r="C7" s="660"/>
      <c r="D7" s="660"/>
      <c r="E7" s="660" t="s">
        <v>702</v>
      </c>
      <c r="F7" s="660" t="s">
        <v>703</v>
      </c>
      <c r="G7" s="660" t="s">
        <v>704</v>
      </c>
      <c r="H7" s="660" t="s">
        <v>702</v>
      </c>
      <c r="I7" s="660" t="s">
        <v>703</v>
      </c>
      <c r="J7" s="660" t="s">
        <v>704</v>
      </c>
      <c r="K7" s="660" t="s">
        <v>702</v>
      </c>
      <c r="L7" s="660" t="s">
        <v>703</v>
      </c>
      <c r="M7" s="660" t="s">
        <v>704</v>
      </c>
      <c r="N7" s="660" t="s">
        <v>702</v>
      </c>
      <c r="O7" s="660" t="s">
        <v>703</v>
      </c>
      <c r="P7" s="660" t="s">
        <v>704</v>
      </c>
      <c r="Q7" s="660" t="s">
        <v>702</v>
      </c>
      <c r="R7" s="660" t="s">
        <v>703</v>
      </c>
      <c r="S7" s="660" t="s">
        <v>704</v>
      </c>
      <c r="T7" s="660" t="s">
        <v>702</v>
      </c>
      <c r="U7" s="660" t="s">
        <v>705</v>
      </c>
      <c r="V7" s="660"/>
      <c r="W7" s="660"/>
      <c r="X7" s="660"/>
      <c r="Y7" s="660"/>
      <c r="Z7" s="660"/>
      <c r="AA7" s="289" t="s">
        <v>706</v>
      </c>
      <c r="AB7" s="289" t="s">
        <v>707</v>
      </c>
      <c r="AC7" s="660"/>
      <c r="AD7" s="660"/>
      <c r="AE7" s="663"/>
      <c r="AF7" s="663"/>
      <c r="AG7" s="663"/>
      <c r="AH7" s="660"/>
      <c r="AI7" s="660"/>
      <c r="AJ7" s="662"/>
      <c r="AK7" s="288"/>
    </row>
    <row r="8" spans="1:37" ht="57.75" customHeight="1" x14ac:dyDescent="0.2">
      <c r="A8" s="661"/>
      <c r="B8" s="660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289" t="s">
        <v>708</v>
      </c>
      <c r="W8" s="289" t="s">
        <v>703</v>
      </c>
      <c r="X8" s="289" t="s">
        <v>704</v>
      </c>
      <c r="Y8" s="290" t="s">
        <v>709</v>
      </c>
      <c r="Z8" s="289" t="s">
        <v>37</v>
      </c>
      <c r="AA8" s="660" t="s">
        <v>710</v>
      </c>
      <c r="AB8" s="660"/>
      <c r="AC8" s="289" t="s">
        <v>711</v>
      </c>
      <c r="AD8" s="289" t="s">
        <v>712</v>
      </c>
      <c r="AE8" s="663"/>
      <c r="AF8" s="663"/>
      <c r="AG8" s="663"/>
      <c r="AH8" s="660"/>
      <c r="AI8" s="660"/>
      <c r="AJ8" s="662"/>
      <c r="AK8" s="288"/>
    </row>
    <row r="9" spans="1:37" x14ac:dyDescent="0.2">
      <c r="A9" s="291">
        <v>5</v>
      </c>
      <c r="B9" s="326" t="s">
        <v>794</v>
      </c>
      <c r="C9" s="354">
        <v>20</v>
      </c>
      <c r="D9" s="292">
        <f t="shared" ref="D9" si="0">C9*21</f>
        <v>420</v>
      </c>
      <c r="E9" s="321">
        <v>1</v>
      </c>
      <c r="F9" s="327">
        <f>57330*1.042</f>
        <v>59737.86</v>
      </c>
      <c r="G9" s="327">
        <f t="shared" ref="G9" si="1">F9*30.2%</f>
        <v>18040.833719999999</v>
      </c>
      <c r="H9" s="321">
        <v>1</v>
      </c>
      <c r="I9" s="327">
        <f>40978.26*1.042</f>
        <v>42699.346920000004</v>
      </c>
      <c r="J9" s="327">
        <f t="shared" ref="J9" si="2">I9*30.2%</f>
        <v>12895.202769840002</v>
      </c>
      <c r="K9" s="321"/>
      <c r="L9" s="327"/>
      <c r="M9" s="327">
        <f t="shared" ref="M9" si="3">L9*30.2%</f>
        <v>0</v>
      </c>
      <c r="N9" s="321"/>
      <c r="O9" s="327"/>
      <c r="P9" s="327">
        <f t="shared" ref="P9" si="4">O9*30.2%</f>
        <v>0</v>
      </c>
      <c r="Q9" s="321">
        <v>0.5</v>
      </c>
      <c r="R9" s="327">
        <f>21869.68*1.042</f>
        <v>22788.206560000002</v>
      </c>
      <c r="S9" s="327">
        <f t="shared" ref="S9" si="5">R9*30.2%</f>
        <v>6882.0383811200008</v>
      </c>
      <c r="T9" s="321">
        <v>1</v>
      </c>
      <c r="U9" s="327">
        <v>23132</v>
      </c>
      <c r="V9" s="327">
        <f t="shared" ref="V9" si="6">E9+H9+K9+N9+Q9+T9</f>
        <v>3.5</v>
      </c>
      <c r="W9" s="327">
        <f t="shared" ref="W9:X9" si="7">F9+I9+L9+O9+R9</f>
        <v>125225.41348</v>
      </c>
      <c r="X9" s="327">
        <f t="shared" si="7"/>
        <v>37818.074870960001</v>
      </c>
      <c r="Y9" s="327">
        <f t="shared" ref="Y9" si="8">U9</f>
        <v>23132</v>
      </c>
      <c r="Z9" s="327">
        <f t="shared" ref="Z9" si="9">W9+X9+Y9</f>
        <v>186175.48835096002</v>
      </c>
      <c r="AA9" s="327">
        <f t="shared" ref="AA9" si="10">266.9*1.037</f>
        <v>276.77529999999996</v>
      </c>
      <c r="AB9" s="327">
        <f t="shared" ref="AB9" si="11">AA9*C9*21</f>
        <v>116245.62599999999</v>
      </c>
      <c r="AC9" s="327">
        <f t="shared" ref="AC9" si="12">AD9/C9</f>
        <v>310</v>
      </c>
      <c r="AD9" s="327">
        <v>6200</v>
      </c>
      <c r="AE9" s="327">
        <v>2</v>
      </c>
      <c r="AF9" s="327">
        <v>990</v>
      </c>
      <c r="AG9" s="327">
        <f t="shared" ref="AG9" si="13">AE9*AF9</f>
        <v>1980</v>
      </c>
      <c r="AH9" s="292">
        <f t="shared" ref="AH9" si="14">AD9+AB9+Z9+AG9</f>
        <v>310601.11435096001</v>
      </c>
      <c r="AI9" s="293">
        <f t="shared" ref="AI9" si="15">AH9/C9</f>
        <v>15530.055717548001</v>
      </c>
      <c r="AJ9" s="294">
        <v>15530</v>
      </c>
    </row>
    <row r="10" spans="1:37" x14ac:dyDescent="0.2">
      <c r="A10" s="291"/>
      <c r="B10" s="296" t="s">
        <v>4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 t="e">
        <f>SUM(#REF!)</f>
        <v>#REF!</v>
      </c>
      <c r="V10" s="292"/>
      <c r="W10" s="292">
        <v>125300</v>
      </c>
      <c r="X10" s="292">
        <v>37900</v>
      </c>
      <c r="Y10" s="292">
        <v>23132</v>
      </c>
      <c r="Z10" s="292"/>
      <c r="AA10" s="292"/>
      <c r="AB10" s="292">
        <v>116088</v>
      </c>
      <c r="AC10" s="292"/>
      <c r="AD10" s="292">
        <v>6200</v>
      </c>
      <c r="AE10" s="292"/>
      <c r="AF10" s="292"/>
      <c r="AG10" s="292">
        <v>1980</v>
      </c>
      <c r="AH10" s="292">
        <f>W10+X10+Y10+AB10+AD10+AG10</f>
        <v>310600</v>
      </c>
      <c r="AI10" s="293"/>
      <c r="AJ10" s="294"/>
    </row>
    <row r="12" spans="1:37" x14ac:dyDescent="0.2">
      <c r="C12" s="284" t="s">
        <v>713</v>
      </c>
      <c r="AH12" s="295"/>
    </row>
    <row r="13" spans="1:37" x14ac:dyDescent="0.2">
      <c r="C13" s="284" t="s">
        <v>714</v>
      </c>
      <c r="AH13" s="295"/>
    </row>
    <row r="14" spans="1:37" ht="12" customHeight="1" x14ac:dyDescent="0.2">
      <c r="C14" s="297" t="s">
        <v>715</v>
      </c>
    </row>
    <row r="16" spans="1:37" x14ac:dyDescent="0.2">
      <c r="B16" s="284" t="s">
        <v>716</v>
      </c>
    </row>
  </sheetData>
  <mergeCells count="37">
    <mergeCell ref="AJ6:AJ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C6:AD7"/>
    <mergeCell ref="AE6:AE8"/>
    <mergeCell ref="AF6:AF8"/>
    <mergeCell ref="AG6:AG8"/>
    <mergeCell ref="AH6:AH8"/>
    <mergeCell ref="AI6:AI8"/>
    <mergeCell ref="K6:M6"/>
    <mergeCell ref="N6:P6"/>
    <mergeCell ref="Q6:S6"/>
    <mergeCell ref="T6:U6"/>
    <mergeCell ref="V6:Z7"/>
    <mergeCell ref="R7:R8"/>
    <mergeCell ref="S7:S8"/>
    <mergeCell ref="T7:T8"/>
    <mergeCell ref="U7:U8"/>
    <mergeCell ref="AA6:AB6"/>
    <mergeCell ref="N7:N8"/>
    <mergeCell ref="O7:O8"/>
    <mergeCell ref="P7:P8"/>
    <mergeCell ref="Q7:Q8"/>
    <mergeCell ref="AA8:AB8"/>
    <mergeCell ref="H6:J6"/>
    <mergeCell ref="A6:A8"/>
    <mergeCell ref="B6:B8"/>
    <mergeCell ref="C6:C8"/>
    <mergeCell ref="D6:D8"/>
    <mergeCell ref="E6:G6"/>
  </mergeCells>
  <printOptions horizontalCentered="1"/>
  <pageMargins left="0.7" right="0.7" top="0.75" bottom="0.75" header="0.3" footer="0.3"/>
  <pageSetup paperSize="9" scale="51" orientation="landscape" r:id="rId1"/>
  <headerFooter alignWithMargins="0"/>
  <colBreaks count="1" manualBreakCount="1">
    <brk id="21" max="26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view="pageBreakPreview" zoomScaleNormal="100" zoomScaleSheetLayoutView="100" workbookViewId="0">
      <selection activeCell="A6" sqref="A6:XFD6"/>
    </sheetView>
  </sheetViews>
  <sheetFormatPr defaultRowHeight="12.75" x14ac:dyDescent="0.2"/>
  <cols>
    <col min="1" max="1" width="31.140625" style="298" customWidth="1"/>
    <col min="2" max="2" width="3" style="298" customWidth="1"/>
    <col min="3" max="3" width="8.7109375" style="298" hidden="1" customWidth="1"/>
    <col min="4" max="4" width="0.28515625" style="298" customWidth="1"/>
    <col min="5" max="5" width="11.7109375" style="298" customWidth="1"/>
    <col min="6" max="6" width="13.5703125" style="298" customWidth="1"/>
    <col min="7" max="7" width="9.28515625" style="298" customWidth="1"/>
    <col min="8" max="10" width="12.140625" style="298" customWidth="1"/>
    <col min="11" max="11" width="13.42578125" style="298" hidden="1" customWidth="1"/>
    <col min="12" max="12" width="14" style="298" hidden="1" customWidth="1"/>
    <col min="13" max="13" width="12.7109375" style="298" customWidth="1"/>
    <col min="14" max="256" width="9.140625" style="298"/>
    <col min="257" max="257" width="31.140625" style="298" customWidth="1"/>
    <col min="258" max="259" width="8.7109375" style="298" customWidth="1"/>
    <col min="260" max="260" width="0.28515625" style="298" customWidth="1"/>
    <col min="261" max="261" width="11.7109375" style="298" customWidth="1"/>
    <col min="262" max="262" width="13.5703125" style="298" customWidth="1"/>
    <col min="263" max="263" width="9.28515625" style="298" customWidth="1"/>
    <col min="264" max="266" width="12.140625" style="298" customWidth="1"/>
    <col min="267" max="268" width="0" style="298" hidden="1" customWidth="1"/>
    <col min="269" max="269" width="12.7109375" style="298" customWidth="1"/>
    <col min="270" max="512" width="9.140625" style="298"/>
    <col min="513" max="513" width="31.140625" style="298" customWidth="1"/>
    <col min="514" max="515" width="8.7109375" style="298" customWidth="1"/>
    <col min="516" max="516" width="0.28515625" style="298" customWidth="1"/>
    <col min="517" max="517" width="11.7109375" style="298" customWidth="1"/>
    <col min="518" max="518" width="13.5703125" style="298" customWidth="1"/>
    <col min="519" max="519" width="9.28515625" style="298" customWidth="1"/>
    <col min="520" max="522" width="12.140625" style="298" customWidth="1"/>
    <col min="523" max="524" width="0" style="298" hidden="1" customWidth="1"/>
    <col min="525" max="525" width="12.7109375" style="298" customWidth="1"/>
    <col min="526" max="768" width="9.140625" style="298"/>
    <col min="769" max="769" width="31.140625" style="298" customWidth="1"/>
    <col min="770" max="771" width="8.7109375" style="298" customWidth="1"/>
    <col min="772" max="772" width="0.28515625" style="298" customWidth="1"/>
    <col min="773" max="773" width="11.7109375" style="298" customWidth="1"/>
    <col min="774" max="774" width="13.5703125" style="298" customWidth="1"/>
    <col min="775" max="775" width="9.28515625" style="298" customWidth="1"/>
    <col min="776" max="778" width="12.140625" style="298" customWidth="1"/>
    <col min="779" max="780" width="0" style="298" hidden="1" customWidth="1"/>
    <col min="781" max="781" width="12.7109375" style="298" customWidth="1"/>
    <col min="782" max="1024" width="9.140625" style="298"/>
    <col min="1025" max="1025" width="31.140625" style="298" customWidth="1"/>
    <col min="1026" max="1027" width="8.7109375" style="298" customWidth="1"/>
    <col min="1028" max="1028" width="0.28515625" style="298" customWidth="1"/>
    <col min="1029" max="1029" width="11.7109375" style="298" customWidth="1"/>
    <col min="1030" max="1030" width="13.5703125" style="298" customWidth="1"/>
    <col min="1031" max="1031" width="9.28515625" style="298" customWidth="1"/>
    <col min="1032" max="1034" width="12.140625" style="298" customWidth="1"/>
    <col min="1035" max="1036" width="0" style="298" hidden="1" customWidth="1"/>
    <col min="1037" max="1037" width="12.7109375" style="298" customWidth="1"/>
    <col min="1038" max="1280" width="9.140625" style="298"/>
    <col min="1281" max="1281" width="31.140625" style="298" customWidth="1"/>
    <col min="1282" max="1283" width="8.7109375" style="298" customWidth="1"/>
    <col min="1284" max="1284" width="0.28515625" style="298" customWidth="1"/>
    <col min="1285" max="1285" width="11.7109375" style="298" customWidth="1"/>
    <col min="1286" max="1286" width="13.5703125" style="298" customWidth="1"/>
    <col min="1287" max="1287" width="9.28515625" style="298" customWidth="1"/>
    <col min="1288" max="1290" width="12.140625" style="298" customWidth="1"/>
    <col min="1291" max="1292" width="0" style="298" hidden="1" customWidth="1"/>
    <col min="1293" max="1293" width="12.7109375" style="298" customWidth="1"/>
    <col min="1294" max="1536" width="9.140625" style="298"/>
    <col min="1537" max="1537" width="31.140625" style="298" customWidth="1"/>
    <col min="1538" max="1539" width="8.7109375" style="298" customWidth="1"/>
    <col min="1540" max="1540" width="0.28515625" style="298" customWidth="1"/>
    <col min="1541" max="1541" width="11.7109375" style="298" customWidth="1"/>
    <col min="1542" max="1542" width="13.5703125" style="298" customWidth="1"/>
    <col min="1543" max="1543" width="9.28515625" style="298" customWidth="1"/>
    <col min="1544" max="1546" width="12.140625" style="298" customWidth="1"/>
    <col min="1547" max="1548" width="0" style="298" hidden="1" customWidth="1"/>
    <col min="1549" max="1549" width="12.7109375" style="298" customWidth="1"/>
    <col min="1550" max="1792" width="9.140625" style="298"/>
    <col min="1793" max="1793" width="31.140625" style="298" customWidth="1"/>
    <col min="1794" max="1795" width="8.7109375" style="298" customWidth="1"/>
    <col min="1796" max="1796" width="0.28515625" style="298" customWidth="1"/>
    <col min="1797" max="1797" width="11.7109375" style="298" customWidth="1"/>
    <col min="1798" max="1798" width="13.5703125" style="298" customWidth="1"/>
    <col min="1799" max="1799" width="9.28515625" style="298" customWidth="1"/>
    <col min="1800" max="1802" width="12.140625" style="298" customWidth="1"/>
    <col min="1803" max="1804" width="0" style="298" hidden="1" customWidth="1"/>
    <col min="1805" max="1805" width="12.7109375" style="298" customWidth="1"/>
    <col min="1806" max="2048" width="9.140625" style="298"/>
    <col min="2049" max="2049" width="31.140625" style="298" customWidth="1"/>
    <col min="2050" max="2051" width="8.7109375" style="298" customWidth="1"/>
    <col min="2052" max="2052" width="0.28515625" style="298" customWidth="1"/>
    <col min="2053" max="2053" width="11.7109375" style="298" customWidth="1"/>
    <col min="2054" max="2054" width="13.5703125" style="298" customWidth="1"/>
    <col min="2055" max="2055" width="9.28515625" style="298" customWidth="1"/>
    <col min="2056" max="2058" width="12.140625" style="298" customWidth="1"/>
    <col min="2059" max="2060" width="0" style="298" hidden="1" customWidth="1"/>
    <col min="2061" max="2061" width="12.7109375" style="298" customWidth="1"/>
    <col min="2062" max="2304" width="9.140625" style="298"/>
    <col min="2305" max="2305" width="31.140625" style="298" customWidth="1"/>
    <col min="2306" max="2307" width="8.7109375" style="298" customWidth="1"/>
    <col min="2308" max="2308" width="0.28515625" style="298" customWidth="1"/>
    <col min="2309" max="2309" width="11.7109375" style="298" customWidth="1"/>
    <col min="2310" max="2310" width="13.5703125" style="298" customWidth="1"/>
    <col min="2311" max="2311" width="9.28515625" style="298" customWidth="1"/>
    <col min="2312" max="2314" width="12.140625" style="298" customWidth="1"/>
    <col min="2315" max="2316" width="0" style="298" hidden="1" customWidth="1"/>
    <col min="2317" max="2317" width="12.7109375" style="298" customWidth="1"/>
    <col min="2318" max="2560" width="9.140625" style="298"/>
    <col min="2561" max="2561" width="31.140625" style="298" customWidth="1"/>
    <col min="2562" max="2563" width="8.7109375" style="298" customWidth="1"/>
    <col min="2564" max="2564" width="0.28515625" style="298" customWidth="1"/>
    <col min="2565" max="2565" width="11.7109375" style="298" customWidth="1"/>
    <col min="2566" max="2566" width="13.5703125" style="298" customWidth="1"/>
    <col min="2567" max="2567" width="9.28515625" style="298" customWidth="1"/>
    <col min="2568" max="2570" width="12.140625" style="298" customWidth="1"/>
    <col min="2571" max="2572" width="0" style="298" hidden="1" customWidth="1"/>
    <col min="2573" max="2573" width="12.7109375" style="298" customWidth="1"/>
    <col min="2574" max="2816" width="9.140625" style="298"/>
    <col min="2817" max="2817" width="31.140625" style="298" customWidth="1"/>
    <col min="2818" max="2819" width="8.7109375" style="298" customWidth="1"/>
    <col min="2820" max="2820" width="0.28515625" style="298" customWidth="1"/>
    <col min="2821" max="2821" width="11.7109375" style="298" customWidth="1"/>
    <col min="2822" max="2822" width="13.5703125" style="298" customWidth="1"/>
    <col min="2823" max="2823" width="9.28515625" style="298" customWidth="1"/>
    <col min="2824" max="2826" width="12.140625" style="298" customWidth="1"/>
    <col min="2827" max="2828" width="0" style="298" hidden="1" customWidth="1"/>
    <col min="2829" max="2829" width="12.7109375" style="298" customWidth="1"/>
    <col min="2830" max="3072" width="9.140625" style="298"/>
    <col min="3073" max="3073" width="31.140625" style="298" customWidth="1"/>
    <col min="3074" max="3075" width="8.7109375" style="298" customWidth="1"/>
    <col min="3076" max="3076" width="0.28515625" style="298" customWidth="1"/>
    <col min="3077" max="3077" width="11.7109375" style="298" customWidth="1"/>
    <col min="3078" max="3078" width="13.5703125" style="298" customWidth="1"/>
    <col min="3079" max="3079" width="9.28515625" style="298" customWidth="1"/>
    <col min="3080" max="3082" width="12.140625" style="298" customWidth="1"/>
    <col min="3083" max="3084" width="0" style="298" hidden="1" customWidth="1"/>
    <col min="3085" max="3085" width="12.7109375" style="298" customWidth="1"/>
    <col min="3086" max="3328" width="9.140625" style="298"/>
    <col min="3329" max="3329" width="31.140625" style="298" customWidth="1"/>
    <col min="3330" max="3331" width="8.7109375" style="298" customWidth="1"/>
    <col min="3332" max="3332" width="0.28515625" style="298" customWidth="1"/>
    <col min="3333" max="3333" width="11.7109375" style="298" customWidth="1"/>
    <col min="3334" max="3334" width="13.5703125" style="298" customWidth="1"/>
    <col min="3335" max="3335" width="9.28515625" style="298" customWidth="1"/>
    <col min="3336" max="3338" width="12.140625" style="298" customWidth="1"/>
    <col min="3339" max="3340" width="0" style="298" hidden="1" customWidth="1"/>
    <col min="3341" max="3341" width="12.7109375" style="298" customWidth="1"/>
    <col min="3342" max="3584" width="9.140625" style="298"/>
    <col min="3585" max="3585" width="31.140625" style="298" customWidth="1"/>
    <col min="3586" max="3587" width="8.7109375" style="298" customWidth="1"/>
    <col min="3588" max="3588" width="0.28515625" style="298" customWidth="1"/>
    <col min="3589" max="3589" width="11.7109375" style="298" customWidth="1"/>
    <col min="3590" max="3590" width="13.5703125" style="298" customWidth="1"/>
    <col min="3591" max="3591" width="9.28515625" style="298" customWidth="1"/>
    <col min="3592" max="3594" width="12.140625" style="298" customWidth="1"/>
    <col min="3595" max="3596" width="0" style="298" hidden="1" customWidth="1"/>
    <col min="3597" max="3597" width="12.7109375" style="298" customWidth="1"/>
    <col min="3598" max="3840" width="9.140625" style="298"/>
    <col min="3841" max="3841" width="31.140625" style="298" customWidth="1"/>
    <col min="3842" max="3843" width="8.7109375" style="298" customWidth="1"/>
    <col min="3844" max="3844" width="0.28515625" style="298" customWidth="1"/>
    <col min="3845" max="3845" width="11.7109375" style="298" customWidth="1"/>
    <col min="3846" max="3846" width="13.5703125" style="298" customWidth="1"/>
    <col min="3847" max="3847" width="9.28515625" style="298" customWidth="1"/>
    <col min="3848" max="3850" width="12.140625" style="298" customWidth="1"/>
    <col min="3851" max="3852" width="0" style="298" hidden="1" customWidth="1"/>
    <col min="3853" max="3853" width="12.7109375" style="298" customWidth="1"/>
    <col min="3854" max="4096" width="9.140625" style="298"/>
    <col min="4097" max="4097" width="31.140625" style="298" customWidth="1"/>
    <col min="4098" max="4099" width="8.7109375" style="298" customWidth="1"/>
    <col min="4100" max="4100" width="0.28515625" style="298" customWidth="1"/>
    <col min="4101" max="4101" width="11.7109375" style="298" customWidth="1"/>
    <col min="4102" max="4102" width="13.5703125" style="298" customWidth="1"/>
    <col min="4103" max="4103" width="9.28515625" style="298" customWidth="1"/>
    <col min="4104" max="4106" width="12.140625" style="298" customWidth="1"/>
    <col min="4107" max="4108" width="0" style="298" hidden="1" customWidth="1"/>
    <col min="4109" max="4109" width="12.7109375" style="298" customWidth="1"/>
    <col min="4110" max="4352" width="9.140625" style="298"/>
    <col min="4353" max="4353" width="31.140625" style="298" customWidth="1"/>
    <col min="4354" max="4355" width="8.7109375" style="298" customWidth="1"/>
    <col min="4356" max="4356" width="0.28515625" style="298" customWidth="1"/>
    <col min="4357" max="4357" width="11.7109375" style="298" customWidth="1"/>
    <col min="4358" max="4358" width="13.5703125" style="298" customWidth="1"/>
    <col min="4359" max="4359" width="9.28515625" style="298" customWidth="1"/>
    <col min="4360" max="4362" width="12.140625" style="298" customWidth="1"/>
    <col min="4363" max="4364" width="0" style="298" hidden="1" customWidth="1"/>
    <col min="4365" max="4365" width="12.7109375" style="298" customWidth="1"/>
    <col min="4366" max="4608" width="9.140625" style="298"/>
    <col min="4609" max="4609" width="31.140625" style="298" customWidth="1"/>
    <col min="4610" max="4611" width="8.7109375" style="298" customWidth="1"/>
    <col min="4612" max="4612" width="0.28515625" style="298" customWidth="1"/>
    <col min="4613" max="4613" width="11.7109375" style="298" customWidth="1"/>
    <col min="4614" max="4614" width="13.5703125" style="298" customWidth="1"/>
    <col min="4615" max="4615" width="9.28515625" style="298" customWidth="1"/>
    <col min="4616" max="4618" width="12.140625" style="298" customWidth="1"/>
    <col min="4619" max="4620" width="0" style="298" hidden="1" customWidth="1"/>
    <col min="4621" max="4621" width="12.7109375" style="298" customWidth="1"/>
    <col min="4622" max="4864" width="9.140625" style="298"/>
    <col min="4865" max="4865" width="31.140625" style="298" customWidth="1"/>
    <col min="4866" max="4867" width="8.7109375" style="298" customWidth="1"/>
    <col min="4868" max="4868" width="0.28515625" style="298" customWidth="1"/>
    <col min="4869" max="4869" width="11.7109375" style="298" customWidth="1"/>
    <col min="4870" max="4870" width="13.5703125" style="298" customWidth="1"/>
    <col min="4871" max="4871" width="9.28515625" style="298" customWidth="1"/>
    <col min="4872" max="4874" width="12.140625" style="298" customWidth="1"/>
    <col min="4875" max="4876" width="0" style="298" hidden="1" customWidth="1"/>
    <col min="4877" max="4877" width="12.7109375" style="298" customWidth="1"/>
    <col min="4878" max="5120" width="9.140625" style="298"/>
    <col min="5121" max="5121" width="31.140625" style="298" customWidth="1"/>
    <col min="5122" max="5123" width="8.7109375" style="298" customWidth="1"/>
    <col min="5124" max="5124" width="0.28515625" style="298" customWidth="1"/>
    <col min="5125" max="5125" width="11.7109375" style="298" customWidth="1"/>
    <col min="5126" max="5126" width="13.5703125" style="298" customWidth="1"/>
    <col min="5127" max="5127" width="9.28515625" style="298" customWidth="1"/>
    <col min="5128" max="5130" width="12.140625" style="298" customWidth="1"/>
    <col min="5131" max="5132" width="0" style="298" hidden="1" customWidth="1"/>
    <col min="5133" max="5133" width="12.7109375" style="298" customWidth="1"/>
    <col min="5134" max="5376" width="9.140625" style="298"/>
    <col min="5377" max="5377" width="31.140625" style="298" customWidth="1"/>
    <col min="5378" max="5379" width="8.7109375" style="298" customWidth="1"/>
    <col min="5380" max="5380" width="0.28515625" style="298" customWidth="1"/>
    <col min="5381" max="5381" width="11.7109375" style="298" customWidth="1"/>
    <col min="5382" max="5382" width="13.5703125" style="298" customWidth="1"/>
    <col min="5383" max="5383" width="9.28515625" style="298" customWidth="1"/>
    <col min="5384" max="5386" width="12.140625" style="298" customWidth="1"/>
    <col min="5387" max="5388" width="0" style="298" hidden="1" customWidth="1"/>
    <col min="5389" max="5389" width="12.7109375" style="298" customWidth="1"/>
    <col min="5390" max="5632" width="9.140625" style="298"/>
    <col min="5633" max="5633" width="31.140625" style="298" customWidth="1"/>
    <col min="5634" max="5635" width="8.7109375" style="298" customWidth="1"/>
    <col min="5636" max="5636" width="0.28515625" style="298" customWidth="1"/>
    <col min="5637" max="5637" width="11.7109375" style="298" customWidth="1"/>
    <col min="5638" max="5638" width="13.5703125" style="298" customWidth="1"/>
    <col min="5639" max="5639" width="9.28515625" style="298" customWidth="1"/>
    <col min="5640" max="5642" width="12.140625" style="298" customWidth="1"/>
    <col min="5643" max="5644" width="0" style="298" hidden="1" customWidth="1"/>
    <col min="5645" max="5645" width="12.7109375" style="298" customWidth="1"/>
    <col min="5646" max="5888" width="9.140625" style="298"/>
    <col min="5889" max="5889" width="31.140625" style="298" customWidth="1"/>
    <col min="5890" max="5891" width="8.7109375" style="298" customWidth="1"/>
    <col min="5892" max="5892" width="0.28515625" style="298" customWidth="1"/>
    <col min="5893" max="5893" width="11.7109375" style="298" customWidth="1"/>
    <col min="5894" max="5894" width="13.5703125" style="298" customWidth="1"/>
    <col min="5895" max="5895" width="9.28515625" style="298" customWidth="1"/>
    <col min="5896" max="5898" width="12.140625" style="298" customWidth="1"/>
    <col min="5899" max="5900" width="0" style="298" hidden="1" customWidth="1"/>
    <col min="5901" max="5901" width="12.7109375" style="298" customWidth="1"/>
    <col min="5902" max="6144" width="9.140625" style="298"/>
    <col min="6145" max="6145" width="31.140625" style="298" customWidth="1"/>
    <col min="6146" max="6147" width="8.7109375" style="298" customWidth="1"/>
    <col min="6148" max="6148" width="0.28515625" style="298" customWidth="1"/>
    <col min="6149" max="6149" width="11.7109375" style="298" customWidth="1"/>
    <col min="6150" max="6150" width="13.5703125" style="298" customWidth="1"/>
    <col min="6151" max="6151" width="9.28515625" style="298" customWidth="1"/>
    <col min="6152" max="6154" width="12.140625" style="298" customWidth="1"/>
    <col min="6155" max="6156" width="0" style="298" hidden="1" customWidth="1"/>
    <col min="6157" max="6157" width="12.7109375" style="298" customWidth="1"/>
    <col min="6158" max="6400" width="9.140625" style="298"/>
    <col min="6401" max="6401" width="31.140625" style="298" customWidth="1"/>
    <col min="6402" max="6403" width="8.7109375" style="298" customWidth="1"/>
    <col min="6404" max="6404" width="0.28515625" style="298" customWidth="1"/>
    <col min="6405" max="6405" width="11.7109375" style="298" customWidth="1"/>
    <col min="6406" max="6406" width="13.5703125" style="298" customWidth="1"/>
    <col min="6407" max="6407" width="9.28515625" style="298" customWidth="1"/>
    <col min="6408" max="6410" width="12.140625" style="298" customWidth="1"/>
    <col min="6411" max="6412" width="0" style="298" hidden="1" customWidth="1"/>
    <col min="6413" max="6413" width="12.7109375" style="298" customWidth="1"/>
    <col min="6414" max="6656" width="9.140625" style="298"/>
    <col min="6657" max="6657" width="31.140625" style="298" customWidth="1"/>
    <col min="6658" max="6659" width="8.7109375" style="298" customWidth="1"/>
    <col min="6660" max="6660" width="0.28515625" style="298" customWidth="1"/>
    <col min="6661" max="6661" width="11.7109375" style="298" customWidth="1"/>
    <col min="6662" max="6662" width="13.5703125" style="298" customWidth="1"/>
    <col min="6663" max="6663" width="9.28515625" style="298" customWidth="1"/>
    <col min="6664" max="6666" width="12.140625" style="298" customWidth="1"/>
    <col min="6667" max="6668" width="0" style="298" hidden="1" customWidth="1"/>
    <col min="6669" max="6669" width="12.7109375" style="298" customWidth="1"/>
    <col min="6670" max="6912" width="9.140625" style="298"/>
    <col min="6913" max="6913" width="31.140625" style="298" customWidth="1"/>
    <col min="6914" max="6915" width="8.7109375" style="298" customWidth="1"/>
    <col min="6916" max="6916" width="0.28515625" style="298" customWidth="1"/>
    <col min="6917" max="6917" width="11.7109375" style="298" customWidth="1"/>
    <col min="6918" max="6918" width="13.5703125" style="298" customWidth="1"/>
    <col min="6919" max="6919" width="9.28515625" style="298" customWidth="1"/>
    <col min="6920" max="6922" width="12.140625" style="298" customWidth="1"/>
    <col min="6923" max="6924" width="0" style="298" hidden="1" customWidth="1"/>
    <col min="6925" max="6925" width="12.7109375" style="298" customWidth="1"/>
    <col min="6926" max="7168" width="9.140625" style="298"/>
    <col min="7169" max="7169" width="31.140625" style="298" customWidth="1"/>
    <col min="7170" max="7171" width="8.7109375" style="298" customWidth="1"/>
    <col min="7172" max="7172" width="0.28515625" style="298" customWidth="1"/>
    <col min="7173" max="7173" width="11.7109375" style="298" customWidth="1"/>
    <col min="7174" max="7174" width="13.5703125" style="298" customWidth="1"/>
    <col min="7175" max="7175" width="9.28515625" style="298" customWidth="1"/>
    <col min="7176" max="7178" width="12.140625" style="298" customWidth="1"/>
    <col min="7179" max="7180" width="0" style="298" hidden="1" customWidth="1"/>
    <col min="7181" max="7181" width="12.7109375" style="298" customWidth="1"/>
    <col min="7182" max="7424" width="9.140625" style="298"/>
    <col min="7425" max="7425" width="31.140625" style="298" customWidth="1"/>
    <col min="7426" max="7427" width="8.7109375" style="298" customWidth="1"/>
    <col min="7428" max="7428" width="0.28515625" style="298" customWidth="1"/>
    <col min="7429" max="7429" width="11.7109375" style="298" customWidth="1"/>
    <col min="7430" max="7430" width="13.5703125" style="298" customWidth="1"/>
    <col min="7431" max="7431" width="9.28515625" style="298" customWidth="1"/>
    <col min="7432" max="7434" width="12.140625" style="298" customWidth="1"/>
    <col min="7435" max="7436" width="0" style="298" hidden="1" customWidth="1"/>
    <col min="7437" max="7437" width="12.7109375" style="298" customWidth="1"/>
    <col min="7438" max="7680" width="9.140625" style="298"/>
    <col min="7681" max="7681" width="31.140625" style="298" customWidth="1"/>
    <col min="7682" max="7683" width="8.7109375" style="298" customWidth="1"/>
    <col min="7684" max="7684" width="0.28515625" style="298" customWidth="1"/>
    <col min="7685" max="7685" width="11.7109375" style="298" customWidth="1"/>
    <col min="7686" max="7686" width="13.5703125" style="298" customWidth="1"/>
    <col min="7687" max="7687" width="9.28515625" style="298" customWidth="1"/>
    <col min="7688" max="7690" width="12.140625" style="298" customWidth="1"/>
    <col min="7691" max="7692" width="0" style="298" hidden="1" customWidth="1"/>
    <col min="7693" max="7693" width="12.7109375" style="298" customWidth="1"/>
    <col min="7694" max="7936" width="9.140625" style="298"/>
    <col min="7937" max="7937" width="31.140625" style="298" customWidth="1"/>
    <col min="7938" max="7939" width="8.7109375" style="298" customWidth="1"/>
    <col min="7940" max="7940" width="0.28515625" style="298" customWidth="1"/>
    <col min="7941" max="7941" width="11.7109375" style="298" customWidth="1"/>
    <col min="7942" max="7942" width="13.5703125" style="298" customWidth="1"/>
    <col min="7943" max="7943" width="9.28515625" style="298" customWidth="1"/>
    <col min="7944" max="7946" width="12.140625" style="298" customWidth="1"/>
    <col min="7947" max="7948" width="0" style="298" hidden="1" customWidth="1"/>
    <col min="7949" max="7949" width="12.7109375" style="298" customWidth="1"/>
    <col min="7950" max="8192" width="9.140625" style="298"/>
    <col min="8193" max="8193" width="31.140625" style="298" customWidth="1"/>
    <col min="8194" max="8195" width="8.7109375" style="298" customWidth="1"/>
    <col min="8196" max="8196" width="0.28515625" style="298" customWidth="1"/>
    <col min="8197" max="8197" width="11.7109375" style="298" customWidth="1"/>
    <col min="8198" max="8198" width="13.5703125" style="298" customWidth="1"/>
    <col min="8199" max="8199" width="9.28515625" style="298" customWidth="1"/>
    <col min="8200" max="8202" width="12.140625" style="298" customWidth="1"/>
    <col min="8203" max="8204" width="0" style="298" hidden="1" customWidth="1"/>
    <col min="8205" max="8205" width="12.7109375" style="298" customWidth="1"/>
    <col min="8206" max="8448" width="9.140625" style="298"/>
    <col min="8449" max="8449" width="31.140625" style="298" customWidth="1"/>
    <col min="8450" max="8451" width="8.7109375" style="298" customWidth="1"/>
    <col min="8452" max="8452" width="0.28515625" style="298" customWidth="1"/>
    <col min="8453" max="8453" width="11.7109375" style="298" customWidth="1"/>
    <col min="8454" max="8454" width="13.5703125" style="298" customWidth="1"/>
    <col min="8455" max="8455" width="9.28515625" style="298" customWidth="1"/>
    <col min="8456" max="8458" width="12.140625" style="298" customWidth="1"/>
    <col min="8459" max="8460" width="0" style="298" hidden="1" customWidth="1"/>
    <col min="8461" max="8461" width="12.7109375" style="298" customWidth="1"/>
    <col min="8462" max="8704" width="9.140625" style="298"/>
    <col min="8705" max="8705" width="31.140625" style="298" customWidth="1"/>
    <col min="8706" max="8707" width="8.7109375" style="298" customWidth="1"/>
    <col min="8708" max="8708" width="0.28515625" style="298" customWidth="1"/>
    <col min="8709" max="8709" width="11.7109375" style="298" customWidth="1"/>
    <col min="8710" max="8710" width="13.5703125" style="298" customWidth="1"/>
    <col min="8711" max="8711" width="9.28515625" style="298" customWidth="1"/>
    <col min="8712" max="8714" width="12.140625" style="298" customWidth="1"/>
    <col min="8715" max="8716" width="0" style="298" hidden="1" customWidth="1"/>
    <col min="8717" max="8717" width="12.7109375" style="298" customWidth="1"/>
    <col min="8718" max="8960" width="9.140625" style="298"/>
    <col min="8961" max="8961" width="31.140625" style="298" customWidth="1"/>
    <col min="8962" max="8963" width="8.7109375" style="298" customWidth="1"/>
    <col min="8964" max="8964" width="0.28515625" style="298" customWidth="1"/>
    <col min="8965" max="8965" width="11.7109375" style="298" customWidth="1"/>
    <col min="8966" max="8966" width="13.5703125" style="298" customWidth="1"/>
    <col min="8967" max="8967" width="9.28515625" style="298" customWidth="1"/>
    <col min="8968" max="8970" width="12.140625" style="298" customWidth="1"/>
    <col min="8971" max="8972" width="0" style="298" hidden="1" customWidth="1"/>
    <col min="8973" max="8973" width="12.7109375" style="298" customWidth="1"/>
    <col min="8974" max="9216" width="9.140625" style="298"/>
    <col min="9217" max="9217" width="31.140625" style="298" customWidth="1"/>
    <col min="9218" max="9219" width="8.7109375" style="298" customWidth="1"/>
    <col min="9220" max="9220" width="0.28515625" style="298" customWidth="1"/>
    <col min="9221" max="9221" width="11.7109375" style="298" customWidth="1"/>
    <col min="9222" max="9222" width="13.5703125" style="298" customWidth="1"/>
    <col min="9223" max="9223" width="9.28515625" style="298" customWidth="1"/>
    <col min="9224" max="9226" width="12.140625" style="298" customWidth="1"/>
    <col min="9227" max="9228" width="0" style="298" hidden="1" customWidth="1"/>
    <col min="9229" max="9229" width="12.7109375" style="298" customWidth="1"/>
    <col min="9230" max="9472" width="9.140625" style="298"/>
    <col min="9473" max="9473" width="31.140625" style="298" customWidth="1"/>
    <col min="9474" max="9475" width="8.7109375" style="298" customWidth="1"/>
    <col min="9476" max="9476" width="0.28515625" style="298" customWidth="1"/>
    <col min="9477" max="9477" width="11.7109375" style="298" customWidth="1"/>
    <col min="9478" max="9478" width="13.5703125" style="298" customWidth="1"/>
    <col min="9479" max="9479" width="9.28515625" style="298" customWidth="1"/>
    <col min="9480" max="9482" width="12.140625" style="298" customWidth="1"/>
    <col min="9483" max="9484" width="0" style="298" hidden="1" customWidth="1"/>
    <col min="9485" max="9485" width="12.7109375" style="298" customWidth="1"/>
    <col min="9486" max="9728" width="9.140625" style="298"/>
    <col min="9729" max="9729" width="31.140625" style="298" customWidth="1"/>
    <col min="9730" max="9731" width="8.7109375" style="298" customWidth="1"/>
    <col min="9732" max="9732" width="0.28515625" style="298" customWidth="1"/>
    <col min="9733" max="9733" width="11.7109375" style="298" customWidth="1"/>
    <col min="9734" max="9734" width="13.5703125" style="298" customWidth="1"/>
    <col min="9735" max="9735" width="9.28515625" style="298" customWidth="1"/>
    <col min="9736" max="9738" width="12.140625" style="298" customWidth="1"/>
    <col min="9739" max="9740" width="0" style="298" hidden="1" customWidth="1"/>
    <col min="9741" max="9741" width="12.7109375" style="298" customWidth="1"/>
    <col min="9742" max="9984" width="9.140625" style="298"/>
    <col min="9985" max="9985" width="31.140625" style="298" customWidth="1"/>
    <col min="9986" max="9987" width="8.7109375" style="298" customWidth="1"/>
    <col min="9988" max="9988" width="0.28515625" style="298" customWidth="1"/>
    <col min="9989" max="9989" width="11.7109375" style="298" customWidth="1"/>
    <col min="9990" max="9990" width="13.5703125" style="298" customWidth="1"/>
    <col min="9991" max="9991" width="9.28515625" style="298" customWidth="1"/>
    <col min="9992" max="9994" width="12.140625" style="298" customWidth="1"/>
    <col min="9995" max="9996" width="0" style="298" hidden="1" customWidth="1"/>
    <col min="9997" max="9997" width="12.7109375" style="298" customWidth="1"/>
    <col min="9998" max="10240" width="9.140625" style="298"/>
    <col min="10241" max="10241" width="31.140625" style="298" customWidth="1"/>
    <col min="10242" max="10243" width="8.7109375" style="298" customWidth="1"/>
    <col min="10244" max="10244" width="0.28515625" style="298" customWidth="1"/>
    <col min="10245" max="10245" width="11.7109375" style="298" customWidth="1"/>
    <col min="10246" max="10246" width="13.5703125" style="298" customWidth="1"/>
    <col min="10247" max="10247" width="9.28515625" style="298" customWidth="1"/>
    <col min="10248" max="10250" width="12.140625" style="298" customWidth="1"/>
    <col min="10251" max="10252" width="0" style="298" hidden="1" customWidth="1"/>
    <col min="10253" max="10253" width="12.7109375" style="298" customWidth="1"/>
    <col min="10254" max="10496" width="9.140625" style="298"/>
    <col min="10497" max="10497" width="31.140625" style="298" customWidth="1"/>
    <col min="10498" max="10499" width="8.7109375" style="298" customWidth="1"/>
    <col min="10500" max="10500" width="0.28515625" style="298" customWidth="1"/>
    <col min="10501" max="10501" width="11.7109375" style="298" customWidth="1"/>
    <col min="10502" max="10502" width="13.5703125" style="298" customWidth="1"/>
    <col min="10503" max="10503" width="9.28515625" style="298" customWidth="1"/>
    <col min="10504" max="10506" width="12.140625" style="298" customWidth="1"/>
    <col min="10507" max="10508" width="0" style="298" hidden="1" customWidth="1"/>
    <col min="10509" max="10509" width="12.7109375" style="298" customWidth="1"/>
    <col min="10510" max="10752" width="9.140625" style="298"/>
    <col min="10753" max="10753" width="31.140625" style="298" customWidth="1"/>
    <col min="10754" max="10755" width="8.7109375" style="298" customWidth="1"/>
    <col min="10756" max="10756" width="0.28515625" style="298" customWidth="1"/>
    <col min="10757" max="10757" width="11.7109375" style="298" customWidth="1"/>
    <col min="10758" max="10758" width="13.5703125" style="298" customWidth="1"/>
    <col min="10759" max="10759" width="9.28515625" style="298" customWidth="1"/>
    <col min="10760" max="10762" width="12.140625" style="298" customWidth="1"/>
    <col min="10763" max="10764" width="0" style="298" hidden="1" customWidth="1"/>
    <col min="10765" max="10765" width="12.7109375" style="298" customWidth="1"/>
    <col min="10766" max="11008" width="9.140625" style="298"/>
    <col min="11009" max="11009" width="31.140625" style="298" customWidth="1"/>
    <col min="11010" max="11011" width="8.7109375" style="298" customWidth="1"/>
    <col min="11012" max="11012" width="0.28515625" style="298" customWidth="1"/>
    <col min="11013" max="11013" width="11.7109375" style="298" customWidth="1"/>
    <col min="11014" max="11014" width="13.5703125" style="298" customWidth="1"/>
    <col min="11015" max="11015" width="9.28515625" style="298" customWidth="1"/>
    <col min="11016" max="11018" width="12.140625" style="298" customWidth="1"/>
    <col min="11019" max="11020" width="0" style="298" hidden="1" customWidth="1"/>
    <col min="11021" max="11021" width="12.7109375" style="298" customWidth="1"/>
    <col min="11022" max="11264" width="9.140625" style="298"/>
    <col min="11265" max="11265" width="31.140625" style="298" customWidth="1"/>
    <col min="11266" max="11267" width="8.7109375" style="298" customWidth="1"/>
    <col min="11268" max="11268" width="0.28515625" style="298" customWidth="1"/>
    <col min="11269" max="11269" width="11.7109375" style="298" customWidth="1"/>
    <col min="11270" max="11270" width="13.5703125" style="298" customWidth="1"/>
    <col min="11271" max="11271" width="9.28515625" style="298" customWidth="1"/>
    <col min="11272" max="11274" width="12.140625" style="298" customWidth="1"/>
    <col min="11275" max="11276" width="0" style="298" hidden="1" customWidth="1"/>
    <col min="11277" max="11277" width="12.7109375" style="298" customWidth="1"/>
    <col min="11278" max="11520" width="9.140625" style="298"/>
    <col min="11521" max="11521" width="31.140625" style="298" customWidth="1"/>
    <col min="11522" max="11523" width="8.7109375" style="298" customWidth="1"/>
    <col min="11524" max="11524" width="0.28515625" style="298" customWidth="1"/>
    <col min="11525" max="11525" width="11.7109375" style="298" customWidth="1"/>
    <col min="11526" max="11526" width="13.5703125" style="298" customWidth="1"/>
    <col min="11527" max="11527" width="9.28515625" style="298" customWidth="1"/>
    <col min="11528" max="11530" width="12.140625" style="298" customWidth="1"/>
    <col min="11531" max="11532" width="0" style="298" hidden="1" customWidth="1"/>
    <col min="11533" max="11533" width="12.7109375" style="298" customWidth="1"/>
    <col min="11534" max="11776" width="9.140625" style="298"/>
    <col min="11777" max="11777" width="31.140625" style="298" customWidth="1"/>
    <col min="11778" max="11779" width="8.7109375" style="298" customWidth="1"/>
    <col min="11780" max="11780" width="0.28515625" style="298" customWidth="1"/>
    <col min="11781" max="11781" width="11.7109375" style="298" customWidth="1"/>
    <col min="11782" max="11782" width="13.5703125" style="298" customWidth="1"/>
    <col min="11783" max="11783" width="9.28515625" style="298" customWidth="1"/>
    <col min="11784" max="11786" width="12.140625" style="298" customWidth="1"/>
    <col min="11787" max="11788" width="0" style="298" hidden="1" customWidth="1"/>
    <col min="11789" max="11789" width="12.7109375" style="298" customWidth="1"/>
    <col min="11790" max="12032" width="9.140625" style="298"/>
    <col min="12033" max="12033" width="31.140625" style="298" customWidth="1"/>
    <col min="12034" max="12035" width="8.7109375" style="298" customWidth="1"/>
    <col min="12036" max="12036" width="0.28515625" style="298" customWidth="1"/>
    <col min="12037" max="12037" width="11.7109375" style="298" customWidth="1"/>
    <col min="12038" max="12038" width="13.5703125" style="298" customWidth="1"/>
    <col min="12039" max="12039" width="9.28515625" style="298" customWidth="1"/>
    <col min="12040" max="12042" width="12.140625" style="298" customWidth="1"/>
    <col min="12043" max="12044" width="0" style="298" hidden="1" customWidth="1"/>
    <col min="12045" max="12045" width="12.7109375" style="298" customWidth="1"/>
    <col min="12046" max="12288" width="9.140625" style="298"/>
    <col min="12289" max="12289" width="31.140625" style="298" customWidth="1"/>
    <col min="12290" max="12291" width="8.7109375" style="298" customWidth="1"/>
    <col min="12292" max="12292" width="0.28515625" style="298" customWidth="1"/>
    <col min="12293" max="12293" width="11.7109375" style="298" customWidth="1"/>
    <col min="12294" max="12294" width="13.5703125" style="298" customWidth="1"/>
    <col min="12295" max="12295" width="9.28515625" style="298" customWidth="1"/>
    <col min="12296" max="12298" width="12.140625" style="298" customWidth="1"/>
    <col min="12299" max="12300" width="0" style="298" hidden="1" customWidth="1"/>
    <col min="12301" max="12301" width="12.7109375" style="298" customWidth="1"/>
    <col min="12302" max="12544" width="9.140625" style="298"/>
    <col min="12545" max="12545" width="31.140625" style="298" customWidth="1"/>
    <col min="12546" max="12547" width="8.7109375" style="298" customWidth="1"/>
    <col min="12548" max="12548" width="0.28515625" style="298" customWidth="1"/>
    <col min="12549" max="12549" width="11.7109375" style="298" customWidth="1"/>
    <col min="12550" max="12550" width="13.5703125" style="298" customWidth="1"/>
    <col min="12551" max="12551" width="9.28515625" style="298" customWidth="1"/>
    <col min="12552" max="12554" width="12.140625" style="298" customWidth="1"/>
    <col min="12555" max="12556" width="0" style="298" hidden="1" customWidth="1"/>
    <col min="12557" max="12557" width="12.7109375" style="298" customWidth="1"/>
    <col min="12558" max="12800" width="9.140625" style="298"/>
    <col min="12801" max="12801" width="31.140625" style="298" customWidth="1"/>
    <col min="12802" max="12803" width="8.7109375" style="298" customWidth="1"/>
    <col min="12804" max="12804" width="0.28515625" style="298" customWidth="1"/>
    <col min="12805" max="12805" width="11.7109375" style="298" customWidth="1"/>
    <col min="12806" max="12806" width="13.5703125" style="298" customWidth="1"/>
    <col min="12807" max="12807" width="9.28515625" style="298" customWidth="1"/>
    <col min="12808" max="12810" width="12.140625" style="298" customWidth="1"/>
    <col min="12811" max="12812" width="0" style="298" hidden="1" customWidth="1"/>
    <col min="12813" max="12813" width="12.7109375" style="298" customWidth="1"/>
    <col min="12814" max="13056" width="9.140625" style="298"/>
    <col min="13057" max="13057" width="31.140625" style="298" customWidth="1"/>
    <col min="13058" max="13059" width="8.7109375" style="298" customWidth="1"/>
    <col min="13060" max="13060" width="0.28515625" style="298" customWidth="1"/>
    <col min="13061" max="13061" width="11.7109375" style="298" customWidth="1"/>
    <col min="13062" max="13062" width="13.5703125" style="298" customWidth="1"/>
    <col min="13063" max="13063" width="9.28515625" style="298" customWidth="1"/>
    <col min="13064" max="13066" width="12.140625" style="298" customWidth="1"/>
    <col min="13067" max="13068" width="0" style="298" hidden="1" customWidth="1"/>
    <col min="13069" max="13069" width="12.7109375" style="298" customWidth="1"/>
    <col min="13070" max="13312" width="9.140625" style="298"/>
    <col min="13313" max="13313" width="31.140625" style="298" customWidth="1"/>
    <col min="13314" max="13315" width="8.7109375" style="298" customWidth="1"/>
    <col min="13316" max="13316" width="0.28515625" style="298" customWidth="1"/>
    <col min="13317" max="13317" width="11.7109375" style="298" customWidth="1"/>
    <col min="13318" max="13318" width="13.5703125" style="298" customWidth="1"/>
    <col min="13319" max="13319" width="9.28515625" style="298" customWidth="1"/>
    <col min="13320" max="13322" width="12.140625" style="298" customWidth="1"/>
    <col min="13323" max="13324" width="0" style="298" hidden="1" customWidth="1"/>
    <col min="13325" max="13325" width="12.7109375" style="298" customWidth="1"/>
    <col min="13326" max="13568" width="9.140625" style="298"/>
    <col min="13569" max="13569" width="31.140625" style="298" customWidth="1"/>
    <col min="13570" max="13571" width="8.7109375" style="298" customWidth="1"/>
    <col min="13572" max="13572" width="0.28515625" style="298" customWidth="1"/>
    <col min="13573" max="13573" width="11.7109375" style="298" customWidth="1"/>
    <col min="13574" max="13574" width="13.5703125" style="298" customWidth="1"/>
    <col min="13575" max="13575" width="9.28515625" style="298" customWidth="1"/>
    <col min="13576" max="13578" width="12.140625" style="298" customWidth="1"/>
    <col min="13579" max="13580" width="0" style="298" hidden="1" customWidth="1"/>
    <col min="13581" max="13581" width="12.7109375" style="298" customWidth="1"/>
    <col min="13582" max="13824" width="9.140625" style="298"/>
    <col min="13825" max="13825" width="31.140625" style="298" customWidth="1"/>
    <col min="13826" max="13827" width="8.7109375" style="298" customWidth="1"/>
    <col min="13828" max="13828" width="0.28515625" style="298" customWidth="1"/>
    <col min="13829" max="13829" width="11.7109375" style="298" customWidth="1"/>
    <col min="13830" max="13830" width="13.5703125" style="298" customWidth="1"/>
    <col min="13831" max="13831" width="9.28515625" style="298" customWidth="1"/>
    <col min="13832" max="13834" width="12.140625" style="298" customWidth="1"/>
    <col min="13835" max="13836" width="0" style="298" hidden="1" customWidth="1"/>
    <col min="13837" max="13837" width="12.7109375" style="298" customWidth="1"/>
    <col min="13838" max="14080" width="9.140625" style="298"/>
    <col min="14081" max="14081" width="31.140625" style="298" customWidth="1"/>
    <col min="14082" max="14083" width="8.7109375" style="298" customWidth="1"/>
    <col min="14084" max="14084" width="0.28515625" style="298" customWidth="1"/>
    <col min="14085" max="14085" width="11.7109375" style="298" customWidth="1"/>
    <col min="14086" max="14086" width="13.5703125" style="298" customWidth="1"/>
    <col min="14087" max="14087" width="9.28515625" style="298" customWidth="1"/>
    <col min="14088" max="14090" width="12.140625" style="298" customWidth="1"/>
    <col min="14091" max="14092" width="0" style="298" hidden="1" customWidth="1"/>
    <col min="14093" max="14093" width="12.7109375" style="298" customWidth="1"/>
    <col min="14094" max="14336" width="9.140625" style="298"/>
    <col min="14337" max="14337" width="31.140625" style="298" customWidth="1"/>
    <col min="14338" max="14339" width="8.7109375" style="298" customWidth="1"/>
    <col min="14340" max="14340" width="0.28515625" style="298" customWidth="1"/>
    <col min="14341" max="14341" width="11.7109375" style="298" customWidth="1"/>
    <col min="14342" max="14342" width="13.5703125" style="298" customWidth="1"/>
    <col min="14343" max="14343" width="9.28515625" style="298" customWidth="1"/>
    <col min="14344" max="14346" width="12.140625" style="298" customWidth="1"/>
    <col min="14347" max="14348" width="0" style="298" hidden="1" customWidth="1"/>
    <col min="14349" max="14349" width="12.7109375" style="298" customWidth="1"/>
    <col min="14350" max="14592" width="9.140625" style="298"/>
    <col min="14593" max="14593" width="31.140625" style="298" customWidth="1"/>
    <col min="14594" max="14595" width="8.7109375" style="298" customWidth="1"/>
    <col min="14596" max="14596" width="0.28515625" style="298" customWidth="1"/>
    <col min="14597" max="14597" width="11.7109375" style="298" customWidth="1"/>
    <col min="14598" max="14598" width="13.5703125" style="298" customWidth="1"/>
    <col min="14599" max="14599" width="9.28515625" style="298" customWidth="1"/>
    <col min="14600" max="14602" width="12.140625" style="298" customWidth="1"/>
    <col min="14603" max="14604" width="0" style="298" hidden="1" customWidth="1"/>
    <col min="14605" max="14605" width="12.7109375" style="298" customWidth="1"/>
    <col min="14606" max="14848" width="9.140625" style="298"/>
    <col min="14849" max="14849" width="31.140625" style="298" customWidth="1"/>
    <col min="14850" max="14851" width="8.7109375" style="298" customWidth="1"/>
    <col min="14852" max="14852" width="0.28515625" style="298" customWidth="1"/>
    <col min="14853" max="14853" width="11.7109375" style="298" customWidth="1"/>
    <col min="14854" max="14854" width="13.5703125" style="298" customWidth="1"/>
    <col min="14855" max="14855" width="9.28515625" style="298" customWidth="1"/>
    <col min="14856" max="14858" width="12.140625" style="298" customWidth="1"/>
    <col min="14859" max="14860" width="0" style="298" hidden="1" customWidth="1"/>
    <col min="14861" max="14861" width="12.7109375" style="298" customWidth="1"/>
    <col min="14862" max="15104" width="9.140625" style="298"/>
    <col min="15105" max="15105" width="31.140625" style="298" customWidth="1"/>
    <col min="15106" max="15107" width="8.7109375" style="298" customWidth="1"/>
    <col min="15108" max="15108" width="0.28515625" style="298" customWidth="1"/>
    <col min="15109" max="15109" width="11.7109375" style="298" customWidth="1"/>
    <col min="15110" max="15110" width="13.5703125" style="298" customWidth="1"/>
    <col min="15111" max="15111" width="9.28515625" style="298" customWidth="1"/>
    <col min="15112" max="15114" width="12.140625" style="298" customWidth="1"/>
    <col min="15115" max="15116" width="0" style="298" hidden="1" customWidth="1"/>
    <col min="15117" max="15117" width="12.7109375" style="298" customWidth="1"/>
    <col min="15118" max="15360" width="9.140625" style="298"/>
    <col min="15361" max="15361" width="31.140625" style="298" customWidth="1"/>
    <col min="15362" max="15363" width="8.7109375" style="298" customWidth="1"/>
    <col min="15364" max="15364" width="0.28515625" style="298" customWidth="1"/>
    <col min="15365" max="15365" width="11.7109375" style="298" customWidth="1"/>
    <col min="15366" max="15366" width="13.5703125" style="298" customWidth="1"/>
    <col min="15367" max="15367" width="9.28515625" style="298" customWidth="1"/>
    <col min="15368" max="15370" width="12.140625" style="298" customWidth="1"/>
    <col min="15371" max="15372" width="0" style="298" hidden="1" customWidth="1"/>
    <col min="15373" max="15373" width="12.7109375" style="298" customWidth="1"/>
    <col min="15374" max="15616" width="9.140625" style="298"/>
    <col min="15617" max="15617" width="31.140625" style="298" customWidth="1"/>
    <col min="15618" max="15619" width="8.7109375" style="298" customWidth="1"/>
    <col min="15620" max="15620" width="0.28515625" style="298" customWidth="1"/>
    <col min="15621" max="15621" width="11.7109375" style="298" customWidth="1"/>
    <col min="15622" max="15622" width="13.5703125" style="298" customWidth="1"/>
    <col min="15623" max="15623" width="9.28515625" style="298" customWidth="1"/>
    <col min="15624" max="15626" width="12.140625" style="298" customWidth="1"/>
    <col min="15627" max="15628" width="0" style="298" hidden="1" customWidth="1"/>
    <col min="15629" max="15629" width="12.7109375" style="298" customWidth="1"/>
    <col min="15630" max="15872" width="9.140625" style="298"/>
    <col min="15873" max="15873" width="31.140625" style="298" customWidth="1"/>
    <col min="15874" max="15875" width="8.7109375" style="298" customWidth="1"/>
    <col min="15876" max="15876" width="0.28515625" style="298" customWidth="1"/>
    <col min="15877" max="15877" width="11.7109375" style="298" customWidth="1"/>
    <col min="15878" max="15878" width="13.5703125" style="298" customWidth="1"/>
    <col min="15879" max="15879" width="9.28515625" style="298" customWidth="1"/>
    <col min="15880" max="15882" width="12.140625" style="298" customWidth="1"/>
    <col min="15883" max="15884" width="0" style="298" hidden="1" customWidth="1"/>
    <col min="15885" max="15885" width="12.7109375" style="298" customWidth="1"/>
    <col min="15886" max="16128" width="9.140625" style="298"/>
    <col min="16129" max="16129" width="31.140625" style="298" customWidth="1"/>
    <col min="16130" max="16131" width="8.7109375" style="298" customWidth="1"/>
    <col min="16132" max="16132" width="0.28515625" style="298" customWidth="1"/>
    <col min="16133" max="16133" width="11.7109375" style="298" customWidth="1"/>
    <col min="16134" max="16134" width="13.5703125" style="298" customWidth="1"/>
    <col min="16135" max="16135" width="9.28515625" style="298" customWidth="1"/>
    <col min="16136" max="16138" width="12.140625" style="298" customWidth="1"/>
    <col min="16139" max="16140" width="0" style="298" hidden="1" customWidth="1"/>
    <col min="16141" max="16141" width="12.7109375" style="298" customWidth="1"/>
    <col min="16142" max="16384" width="9.140625" style="298"/>
  </cols>
  <sheetData>
    <row r="2" spans="1:13" ht="25.5" customHeight="1" x14ac:dyDescent="0.2">
      <c r="A2" s="664" t="s">
        <v>717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</row>
    <row r="4" spans="1:13" ht="68.25" customHeight="1" x14ac:dyDescent="0.2">
      <c r="A4" s="665" t="s">
        <v>161</v>
      </c>
      <c r="B4" s="665"/>
      <c r="C4" s="665"/>
      <c r="D4" s="665"/>
      <c r="E4" s="299" t="s">
        <v>718</v>
      </c>
      <c r="F4" s="299" t="s">
        <v>719</v>
      </c>
      <c r="G4" s="299" t="s">
        <v>720</v>
      </c>
      <c r="H4" s="299" t="s">
        <v>721</v>
      </c>
      <c r="I4" s="299" t="s">
        <v>721</v>
      </c>
      <c r="J4" s="299" t="s">
        <v>722</v>
      </c>
      <c r="K4" s="299" t="s">
        <v>723</v>
      </c>
      <c r="L4" s="299" t="s">
        <v>723</v>
      </c>
      <c r="M4" s="299" t="s">
        <v>723</v>
      </c>
    </row>
    <row r="5" spans="1:13" x14ac:dyDescent="0.2">
      <c r="A5" s="666" t="s">
        <v>793</v>
      </c>
      <c r="B5" s="666"/>
      <c r="C5" s="666"/>
      <c r="D5" s="666"/>
      <c r="E5" s="300"/>
      <c r="F5" s="328">
        <v>15530</v>
      </c>
      <c r="G5" s="301">
        <v>20</v>
      </c>
      <c r="H5" s="300">
        <f t="shared" ref="H5" si="0">F5*G5</f>
        <v>310600</v>
      </c>
      <c r="I5" s="300">
        <v>310600</v>
      </c>
      <c r="J5" s="300">
        <v>310600</v>
      </c>
      <c r="K5" s="300">
        <f t="shared" ref="K5:L5" si="1">J5</f>
        <v>310600</v>
      </c>
      <c r="L5" s="300">
        <f t="shared" si="1"/>
        <v>310600</v>
      </c>
      <c r="M5" s="300">
        <v>310600</v>
      </c>
    </row>
    <row r="8" spans="1:13" x14ac:dyDescent="0.2">
      <c r="A8" s="302"/>
    </row>
    <row r="9" spans="1:13" x14ac:dyDescent="0.2">
      <c r="K9" s="303"/>
    </row>
  </sheetData>
  <mergeCells count="3">
    <mergeCell ref="A2:L2"/>
    <mergeCell ref="A4:D4"/>
    <mergeCell ref="A5:D5"/>
  </mergeCells>
  <pageMargins left="0.59055118110236227" right="0.19685039370078741" top="0.74803149606299213" bottom="0.74803149606299213" header="0.31496062992125984" footer="0.31496062992125984"/>
  <pageSetup paperSize="9" scale="8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0"/>
  <sheetViews>
    <sheetView view="pageBreakPreview" zoomScaleSheetLayoutView="100" workbookViewId="0">
      <pane xSplit="2" ySplit="5" topLeftCell="C6" activePane="bottomRight" state="frozen"/>
      <selection sqref="A1:F1"/>
      <selection pane="topRight" sqref="A1:F1"/>
      <selection pane="bottomLeft" sqref="A1:F1"/>
      <selection pane="bottomRight" activeCell="I9" sqref="I8:I9"/>
    </sheetView>
  </sheetViews>
  <sheetFormatPr defaultRowHeight="15" x14ac:dyDescent="0.25"/>
  <cols>
    <col min="1" max="1" width="5.28515625" style="69" customWidth="1"/>
    <col min="2" max="2" width="37.28515625" style="69" customWidth="1"/>
    <col min="3" max="3" width="9.85546875" style="69" customWidth="1"/>
    <col min="4" max="5" width="16" style="69" customWidth="1"/>
    <col min="6" max="6" width="16.5703125" style="69" customWidth="1"/>
    <col min="7" max="7" width="12.140625" style="69" customWidth="1"/>
    <col min="8" max="8" width="11" style="69" customWidth="1"/>
    <col min="9" max="10" width="12.5703125" style="69" customWidth="1"/>
    <col min="11" max="11" width="9.140625" style="69"/>
    <col min="12" max="12" width="12.28515625" style="69" customWidth="1"/>
    <col min="13" max="13" width="14.85546875" style="69" customWidth="1"/>
    <col min="14" max="14" width="12.5703125" style="69" customWidth="1"/>
    <col min="15" max="245" width="9.140625" style="69"/>
    <col min="246" max="246" width="5.28515625" style="69" customWidth="1"/>
    <col min="247" max="247" width="37.28515625" style="69" customWidth="1"/>
    <col min="248" max="251" width="14.42578125" style="69" customWidth="1"/>
    <col min="252" max="252" width="9.85546875" style="69" customWidth="1"/>
    <col min="253" max="254" width="16" style="69" customWidth="1"/>
    <col min="255" max="255" width="16.5703125" style="69" customWidth="1"/>
    <col min="256" max="256" width="12.140625" style="69" customWidth="1"/>
    <col min="257" max="257" width="11" style="69" customWidth="1"/>
    <col min="258" max="259" width="12.5703125" style="69" customWidth="1"/>
    <col min="260" max="260" width="9.140625" style="69"/>
    <col min="261" max="261" width="12.28515625" style="69" customWidth="1"/>
    <col min="262" max="262" width="14.85546875" style="69" customWidth="1"/>
    <col min="263" max="263" width="12.5703125" style="69" customWidth="1"/>
    <col min="264" max="264" width="14.42578125" style="69" customWidth="1"/>
    <col min="265" max="265" width="11" style="69" customWidth="1"/>
    <col min="266" max="266" width="11.140625" style="69" customWidth="1"/>
    <col min="267" max="268" width="11.42578125" style="69" customWidth="1"/>
    <col min="269" max="269" width="11.140625" style="69" customWidth="1"/>
    <col min="270" max="270" width="13" style="69" customWidth="1"/>
    <col min="271" max="501" width="9.140625" style="69"/>
    <col min="502" max="502" width="5.28515625" style="69" customWidth="1"/>
    <col min="503" max="503" width="37.28515625" style="69" customWidth="1"/>
    <col min="504" max="507" width="14.42578125" style="69" customWidth="1"/>
    <col min="508" max="508" width="9.85546875" style="69" customWidth="1"/>
    <col min="509" max="510" width="16" style="69" customWidth="1"/>
    <col min="511" max="511" width="16.5703125" style="69" customWidth="1"/>
    <col min="512" max="512" width="12.140625" style="69" customWidth="1"/>
    <col min="513" max="513" width="11" style="69" customWidth="1"/>
    <col min="514" max="515" width="12.5703125" style="69" customWidth="1"/>
    <col min="516" max="516" width="9.140625" style="69"/>
    <col min="517" max="517" width="12.28515625" style="69" customWidth="1"/>
    <col min="518" max="518" width="14.85546875" style="69" customWidth="1"/>
    <col min="519" max="519" width="12.5703125" style="69" customWidth="1"/>
    <col min="520" max="520" width="14.42578125" style="69" customWidth="1"/>
    <col min="521" max="521" width="11" style="69" customWidth="1"/>
    <col min="522" max="522" width="11.140625" style="69" customWidth="1"/>
    <col min="523" max="524" width="11.42578125" style="69" customWidth="1"/>
    <col min="525" max="525" width="11.140625" style="69" customWidth="1"/>
    <col min="526" max="526" width="13" style="69" customWidth="1"/>
    <col min="527" max="757" width="9.140625" style="69"/>
    <col min="758" max="758" width="5.28515625" style="69" customWidth="1"/>
    <col min="759" max="759" width="37.28515625" style="69" customWidth="1"/>
    <col min="760" max="763" width="14.42578125" style="69" customWidth="1"/>
    <col min="764" max="764" width="9.85546875" style="69" customWidth="1"/>
    <col min="765" max="766" width="16" style="69" customWidth="1"/>
    <col min="767" max="767" width="16.5703125" style="69" customWidth="1"/>
    <col min="768" max="768" width="12.140625" style="69" customWidth="1"/>
    <col min="769" max="769" width="11" style="69" customWidth="1"/>
    <col min="770" max="771" width="12.5703125" style="69" customWidth="1"/>
    <col min="772" max="772" width="9.140625" style="69"/>
    <col min="773" max="773" width="12.28515625" style="69" customWidth="1"/>
    <col min="774" max="774" width="14.85546875" style="69" customWidth="1"/>
    <col min="775" max="775" width="12.5703125" style="69" customWidth="1"/>
    <col min="776" max="776" width="14.42578125" style="69" customWidth="1"/>
    <col min="777" max="777" width="11" style="69" customWidth="1"/>
    <col min="778" max="778" width="11.140625" style="69" customWidth="1"/>
    <col min="779" max="780" width="11.42578125" style="69" customWidth="1"/>
    <col min="781" max="781" width="11.140625" style="69" customWidth="1"/>
    <col min="782" max="782" width="13" style="69" customWidth="1"/>
    <col min="783" max="1013" width="9.140625" style="69"/>
    <col min="1014" max="1014" width="5.28515625" style="69" customWidth="1"/>
    <col min="1015" max="1015" width="37.28515625" style="69" customWidth="1"/>
    <col min="1016" max="1019" width="14.42578125" style="69" customWidth="1"/>
    <col min="1020" max="1020" width="9.85546875" style="69" customWidth="1"/>
    <col min="1021" max="1022" width="16" style="69" customWidth="1"/>
    <col min="1023" max="1023" width="16.5703125" style="69" customWidth="1"/>
    <col min="1024" max="1024" width="12.140625" style="69" customWidth="1"/>
    <col min="1025" max="1025" width="11" style="69" customWidth="1"/>
    <col min="1026" max="1027" width="12.5703125" style="69" customWidth="1"/>
    <col min="1028" max="1028" width="9.140625" style="69"/>
    <col min="1029" max="1029" width="12.28515625" style="69" customWidth="1"/>
    <col min="1030" max="1030" width="14.85546875" style="69" customWidth="1"/>
    <col min="1031" max="1031" width="12.5703125" style="69" customWidth="1"/>
    <col min="1032" max="1032" width="14.42578125" style="69" customWidth="1"/>
    <col min="1033" max="1033" width="11" style="69" customWidth="1"/>
    <col min="1034" max="1034" width="11.140625" style="69" customWidth="1"/>
    <col min="1035" max="1036" width="11.42578125" style="69" customWidth="1"/>
    <col min="1037" max="1037" width="11.140625" style="69" customWidth="1"/>
    <col min="1038" max="1038" width="13" style="69" customWidth="1"/>
    <col min="1039" max="1269" width="9.140625" style="69"/>
    <col min="1270" max="1270" width="5.28515625" style="69" customWidth="1"/>
    <col min="1271" max="1271" width="37.28515625" style="69" customWidth="1"/>
    <col min="1272" max="1275" width="14.42578125" style="69" customWidth="1"/>
    <col min="1276" max="1276" width="9.85546875" style="69" customWidth="1"/>
    <col min="1277" max="1278" width="16" style="69" customWidth="1"/>
    <col min="1279" max="1279" width="16.5703125" style="69" customWidth="1"/>
    <col min="1280" max="1280" width="12.140625" style="69" customWidth="1"/>
    <col min="1281" max="1281" width="11" style="69" customWidth="1"/>
    <col min="1282" max="1283" width="12.5703125" style="69" customWidth="1"/>
    <col min="1284" max="1284" width="9.140625" style="69"/>
    <col min="1285" max="1285" width="12.28515625" style="69" customWidth="1"/>
    <col min="1286" max="1286" width="14.85546875" style="69" customWidth="1"/>
    <col min="1287" max="1287" width="12.5703125" style="69" customWidth="1"/>
    <col min="1288" max="1288" width="14.42578125" style="69" customWidth="1"/>
    <col min="1289" max="1289" width="11" style="69" customWidth="1"/>
    <col min="1290" max="1290" width="11.140625" style="69" customWidth="1"/>
    <col min="1291" max="1292" width="11.42578125" style="69" customWidth="1"/>
    <col min="1293" max="1293" width="11.140625" style="69" customWidth="1"/>
    <col min="1294" max="1294" width="13" style="69" customWidth="1"/>
    <col min="1295" max="1525" width="9.140625" style="69"/>
    <col min="1526" max="1526" width="5.28515625" style="69" customWidth="1"/>
    <col min="1527" max="1527" width="37.28515625" style="69" customWidth="1"/>
    <col min="1528" max="1531" width="14.42578125" style="69" customWidth="1"/>
    <col min="1532" max="1532" width="9.85546875" style="69" customWidth="1"/>
    <col min="1533" max="1534" width="16" style="69" customWidth="1"/>
    <col min="1535" max="1535" width="16.5703125" style="69" customWidth="1"/>
    <col min="1536" max="1536" width="12.140625" style="69" customWidth="1"/>
    <col min="1537" max="1537" width="11" style="69" customWidth="1"/>
    <col min="1538" max="1539" width="12.5703125" style="69" customWidth="1"/>
    <col min="1540" max="1540" width="9.140625" style="69"/>
    <col min="1541" max="1541" width="12.28515625" style="69" customWidth="1"/>
    <col min="1542" max="1542" width="14.85546875" style="69" customWidth="1"/>
    <col min="1543" max="1543" width="12.5703125" style="69" customWidth="1"/>
    <col min="1544" max="1544" width="14.42578125" style="69" customWidth="1"/>
    <col min="1545" max="1545" width="11" style="69" customWidth="1"/>
    <col min="1546" max="1546" width="11.140625" style="69" customWidth="1"/>
    <col min="1547" max="1548" width="11.42578125" style="69" customWidth="1"/>
    <col min="1549" max="1549" width="11.140625" style="69" customWidth="1"/>
    <col min="1550" max="1550" width="13" style="69" customWidth="1"/>
    <col min="1551" max="1781" width="9.140625" style="69"/>
    <col min="1782" max="1782" width="5.28515625" style="69" customWidth="1"/>
    <col min="1783" max="1783" width="37.28515625" style="69" customWidth="1"/>
    <col min="1784" max="1787" width="14.42578125" style="69" customWidth="1"/>
    <col min="1788" max="1788" width="9.85546875" style="69" customWidth="1"/>
    <col min="1789" max="1790" width="16" style="69" customWidth="1"/>
    <col min="1791" max="1791" width="16.5703125" style="69" customWidth="1"/>
    <col min="1792" max="1792" width="12.140625" style="69" customWidth="1"/>
    <col min="1793" max="1793" width="11" style="69" customWidth="1"/>
    <col min="1794" max="1795" width="12.5703125" style="69" customWidth="1"/>
    <col min="1796" max="1796" width="9.140625" style="69"/>
    <col min="1797" max="1797" width="12.28515625" style="69" customWidth="1"/>
    <col min="1798" max="1798" width="14.85546875" style="69" customWidth="1"/>
    <col min="1799" max="1799" width="12.5703125" style="69" customWidth="1"/>
    <col min="1800" max="1800" width="14.42578125" style="69" customWidth="1"/>
    <col min="1801" max="1801" width="11" style="69" customWidth="1"/>
    <col min="1802" max="1802" width="11.140625" style="69" customWidth="1"/>
    <col min="1803" max="1804" width="11.42578125" style="69" customWidth="1"/>
    <col min="1805" max="1805" width="11.140625" style="69" customWidth="1"/>
    <col min="1806" max="1806" width="13" style="69" customWidth="1"/>
    <col min="1807" max="2037" width="9.140625" style="69"/>
    <col min="2038" max="2038" width="5.28515625" style="69" customWidth="1"/>
    <col min="2039" max="2039" width="37.28515625" style="69" customWidth="1"/>
    <col min="2040" max="2043" width="14.42578125" style="69" customWidth="1"/>
    <col min="2044" max="2044" width="9.85546875" style="69" customWidth="1"/>
    <col min="2045" max="2046" width="16" style="69" customWidth="1"/>
    <col min="2047" max="2047" width="16.5703125" style="69" customWidth="1"/>
    <col min="2048" max="2048" width="12.140625" style="69" customWidth="1"/>
    <col min="2049" max="2049" width="11" style="69" customWidth="1"/>
    <col min="2050" max="2051" width="12.5703125" style="69" customWidth="1"/>
    <col min="2052" max="2052" width="9.140625" style="69"/>
    <col min="2053" max="2053" width="12.28515625" style="69" customWidth="1"/>
    <col min="2054" max="2054" width="14.85546875" style="69" customWidth="1"/>
    <col min="2055" max="2055" width="12.5703125" style="69" customWidth="1"/>
    <col min="2056" max="2056" width="14.42578125" style="69" customWidth="1"/>
    <col min="2057" max="2057" width="11" style="69" customWidth="1"/>
    <col min="2058" max="2058" width="11.140625" style="69" customWidth="1"/>
    <col min="2059" max="2060" width="11.42578125" style="69" customWidth="1"/>
    <col min="2061" max="2061" width="11.140625" style="69" customWidth="1"/>
    <col min="2062" max="2062" width="13" style="69" customWidth="1"/>
    <col min="2063" max="2293" width="9.140625" style="69"/>
    <col min="2294" max="2294" width="5.28515625" style="69" customWidth="1"/>
    <col min="2295" max="2295" width="37.28515625" style="69" customWidth="1"/>
    <col min="2296" max="2299" width="14.42578125" style="69" customWidth="1"/>
    <col min="2300" max="2300" width="9.85546875" style="69" customWidth="1"/>
    <col min="2301" max="2302" width="16" style="69" customWidth="1"/>
    <col min="2303" max="2303" width="16.5703125" style="69" customWidth="1"/>
    <col min="2304" max="2304" width="12.140625" style="69" customWidth="1"/>
    <col min="2305" max="2305" width="11" style="69" customWidth="1"/>
    <col min="2306" max="2307" width="12.5703125" style="69" customWidth="1"/>
    <col min="2308" max="2308" width="9.140625" style="69"/>
    <col min="2309" max="2309" width="12.28515625" style="69" customWidth="1"/>
    <col min="2310" max="2310" width="14.85546875" style="69" customWidth="1"/>
    <col min="2311" max="2311" width="12.5703125" style="69" customWidth="1"/>
    <col min="2312" max="2312" width="14.42578125" style="69" customWidth="1"/>
    <col min="2313" max="2313" width="11" style="69" customWidth="1"/>
    <col min="2314" max="2314" width="11.140625" style="69" customWidth="1"/>
    <col min="2315" max="2316" width="11.42578125" style="69" customWidth="1"/>
    <col min="2317" max="2317" width="11.140625" style="69" customWidth="1"/>
    <col min="2318" max="2318" width="13" style="69" customWidth="1"/>
    <col min="2319" max="2549" width="9.140625" style="69"/>
    <col min="2550" max="2550" width="5.28515625" style="69" customWidth="1"/>
    <col min="2551" max="2551" width="37.28515625" style="69" customWidth="1"/>
    <col min="2552" max="2555" width="14.42578125" style="69" customWidth="1"/>
    <col min="2556" max="2556" width="9.85546875" style="69" customWidth="1"/>
    <col min="2557" max="2558" width="16" style="69" customWidth="1"/>
    <col min="2559" max="2559" width="16.5703125" style="69" customWidth="1"/>
    <col min="2560" max="2560" width="12.140625" style="69" customWidth="1"/>
    <col min="2561" max="2561" width="11" style="69" customWidth="1"/>
    <col min="2562" max="2563" width="12.5703125" style="69" customWidth="1"/>
    <col min="2564" max="2564" width="9.140625" style="69"/>
    <col min="2565" max="2565" width="12.28515625" style="69" customWidth="1"/>
    <col min="2566" max="2566" width="14.85546875" style="69" customWidth="1"/>
    <col min="2567" max="2567" width="12.5703125" style="69" customWidth="1"/>
    <col min="2568" max="2568" width="14.42578125" style="69" customWidth="1"/>
    <col min="2569" max="2569" width="11" style="69" customWidth="1"/>
    <col min="2570" max="2570" width="11.140625" style="69" customWidth="1"/>
    <col min="2571" max="2572" width="11.42578125" style="69" customWidth="1"/>
    <col min="2573" max="2573" width="11.140625" style="69" customWidth="1"/>
    <col min="2574" max="2574" width="13" style="69" customWidth="1"/>
    <col min="2575" max="2805" width="9.140625" style="69"/>
    <col min="2806" max="2806" width="5.28515625" style="69" customWidth="1"/>
    <col min="2807" max="2807" width="37.28515625" style="69" customWidth="1"/>
    <col min="2808" max="2811" width="14.42578125" style="69" customWidth="1"/>
    <col min="2812" max="2812" width="9.85546875" style="69" customWidth="1"/>
    <col min="2813" max="2814" width="16" style="69" customWidth="1"/>
    <col min="2815" max="2815" width="16.5703125" style="69" customWidth="1"/>
    <col min="2816" max="2816" width="12.140625" style="69" customWidth="1"/>
    <col min="2817" max="2817" width="11" style="69" customWidth="1"/>
    <col min="2818" max="2819" width="12.5703125" style="69" customWidth="1"/>
    <col min="2820" max="2820" width="9.140625" style="69"/>
    <col min="2821" max="2821" width="12.28515625" style="69" customWidth="1"/>
    <col min="2822" max="2822" width="14.85546875" style="69" customWidth="1"/>
    <col min="2823" max="2823" width="12.5703125" style="69" customWidth="1"/>
    <col min="2824" max="2824" width="14.42578125" style="69" customWidth="1"/>
    <col min="2825" max="2825" width="11" style="69" customWidth="1"/>
    <col min="2826" max="2826" width="11.140625" style="69" customWidth="1"/>
    <col min="2827" max="2828" width="11.42578125" style="69" customWidth="1"/>
    <col min="2829" max="2829" width="11.140625" style="69" customWidth="1"/>
    <col min="2830" max="2830" width="13" style="69" customWidth="1"/>
    <col min="2831" max="3061" width="9.140625" style="69"/>
    <col min="3062" max="3062" width="5.28515625" style="69" customWidth="1"/>
    <col min="3063" max="3063" width="37.28515625" style="69" customWidth="1"/>
    <col min="3064" max="3067" width="14.42578125" style="69" customWidth="1"/>
    <col min="3068" max="3068" width="9.85546875" style="69" customWidth="1"/>
    <col min="3069" max="3070" width="16" style="69" customWidth="1"/>
    <col min="3071" max="3071" width="16.5703125" style="69" customWidth="1"/>
    <col min="3072" max="3072" width="12.140625" style="69" customWidth="1"/>
    <col min="3073" max="3073" width="11" style="69" customWidth="1"/>
    <col min="3074" max="3075" width="12.5703125" style="69" customWidth="1"/>
    <col min="3076" max="3076" width="9.140625" style="69"/>
    <col min="3077" max="3077" width="12.28515625" style="69" customWidth="1"/>
    <col min="3078" max="3078" width="14.85546875" style="69" customWidth="1"/>
    <col min="3079" max="3079" width="12.5703125" style="69" customWidth="1"/>
    <col min="3080" max="3080" width="14.42578125" style="69" customWidth="1"/>
    <col min="3081" max="3081" width="11" style="69" customWidth="1"/>
    <col min="3082" max="3082" width="11.140625" style="69" customWidth="1"/>
    <col min="3083" max="3084" width="11.42578125" style="69" customWidth="1"/>
    <col min="3085" max="3085" width="11.140625" style="69" customWidth="1"/>
    <col min="3086" max="3086" width="13" style="69" customWidth="1"/>
    <col min="3087" max="3317" width="9.140625" style="69"/>
    <col min="3318" max="3318" width="5.28515625" style="69" customWidth="1"/>
    <col min="3319" max="3319" width="37.28515625" style="69" customWidth="1"/>
    <col min="3320" max="3323" width="14.42578125" style="69" customWidth="1"/>
    <col min="3324" max="3324" width="9.85546875" style="69" customWidth="1"/>
    <col min="3325" max="3326" width="16" style="69" customWidth="1"/>
    <col min="3327" max="3327" width="16.5703125" style="69" customWidth="1"/>
    <col min="3328" max="3328" width="12.140625" style="69" customWidth="1"/>
    <col min="3329" max="3329" width="11" style="69" customWidth="1"/>
    <col min="3330" max="3331" width="12.5703125" style="69" customWidth="1"/>
    <col min="3332" max="3332" width="9.140625" style="69"/>
    <col min="3333" max="3333" width="12.28515625" style="69" customWidth="1"/>
    <col min="3334" max="3334" width="14.85546875" style="69" customWidth="1"/>
    <col min="3335" max="3335" width="12.5703125" style="69" customWidth="1"/>
    <col min="3336" max="3336" width="14.42578125" style="69" customWidth="1"/>
    <col min="3337" max="3337" width="11" style="69" customWidth="1"/>
    <col min="3338" max="3338" width="11.140625" style="69" customWidth="1"/>
    <col min="3339" max="3340" width="11.42578125" style="69" customWidth="1"/>
    <col min="3341" max="3341" width="11.140625" style="69" customWidth="1"/>
    <col min="3342" max="3342" width="13" style="69" customWidth="1"/>
    <col min="3343" max="3573" width="9.140625" style="69"/>
    <col min="3574" max="3574" width="5.28515625" style="69" customWidth="1"/>
    <col min="3575" max="3575" width="37.28515625" style="69" customWidth="1"/>
    <col min="3576" max="3579" width="14.42578125" style="69" customWidth="1"/>
    <col min="3580" max="3580" width="9.85546875" style="69" customWidth="1"/>
    <col min="3581" max="3582" width="16" style="69" customWidth="1"/>
    <col min="3583" max="3583" width="16.5703125" style="69" customWidth="1"/>
    <col min="3584" max="3584" width="12.140625" style="69" customWidth="1"/>
    <col min="3585" max="3585" width="11" style="69" customWidth="1"/>
    <col min="3586" max="3587" width="12.5703125" style="69" customWidth="1"/>
    <col min="3588" max="3588" width="9.140625" style="69"/>
    <col min="3589" max="3589" width="12.28515625" style="69" customWidth="1"/>
    <col min="3590" max="3590" width="14.85546875" style="69" customWidth="1"/>
    <col min="3591" max="3591" width="12.5703125" style="69" customWidth="1"/>
    <col min="3592" max="3592" width="14.42578125" style="69" customWidth="1"/>
    <col min="3593" max="3593" width="11" style="69" customWidth="1"/>
    <col min="3594" max="3594" width="11.140625" style="69" customWidth="1"/>
    <col min="3595" max="3596" width="11.42578125" style="69" customWidth="1"/>
    <col min="3597" max="3597" width="11.140625" style="69" customWidth="1"/>
    <col min="3598" max="3598" width="13" style="69" customWidth="1"/>
    <col min="3599" max="3829" width="9.140625" style="69"/>
    <col min="3830" max="3830" width="5.28515625" style="69" customWidth="1"/>
    <col min="3831" max="3831" width="37.28515625" style="69" customWidth="1"/>
    <col min="3832" max="3835" width="14.42578125" style="69" customWidth="1"/>
    <col min="3836" max="3836" width="9.85546875" style="69" customWidth="1"/>
    <col min="3837" max="3838" width="16" style="69" customWidth="1"/>
    <col min="3839" max="3839" width="16.5703125" style="69" customWidth="1"/>
    <col min="3840" max="3840" width="12.140625" style="69" customWidth="1"/>
    <col min="3841" max="3841" width="11" style="69" customWidth="1"/>
    <col min="3842" max="3843" width="12.5703125" style="69" customWidth="1"/>
    <col min="3844" max="3844" width="9.140625" style="69"/>
    <col min="3845" max="3845" width="12.28515625" style="69" customWidth="1"/>
    <col min="3846" max="3846" width="14.85546875" style="69" customWidth="1"/>
    <col min="3847" max="3847" width="12.5703125" style="69" customWidth="1"/>
    <col min="3848" max="3848" width="14.42578125" style="69" customWidth="1"/>
    <col min="3849" max="3849" width="11" style="69" customWidth="1"/>
    <col min="3850" max="3850" width="11.140625" style="69" customWidth="1"/>
    <col min="3851" max="3852" width="11.42578125" style="69" customWidth="1"/>
    <col min="3853" max="3853" width="11.140625" style="69" customWidth="1"/>
    <col min="3854" max="3854" width="13" style="69" customWidth="1"/>
    <col min="3855" max="4085" width="9.140625" style="69"/>
    <col min="4086" max="4086" width="5.28515625" style="69" customWidth="1"/>
    <col min="4087" max="4087" width="37.28515625" style="69" customWidth="1"/>
    <col min="4088" max="4091" width="14.42578125" style="69" customWidth="1"/>
    <col min="4092" max="4092" width="9.85546875" style="69" customWidth="1"/>
    <col min="4093" max="4094" width="16" style="69" customWidth="1"/>
    <col min="4095" max="4095" width="16.5703125" style="69" customWidth="1"/>
    <col min="4096" max="4096" width="12.140625" style="69" customWidth="1"/>
    <col min="4097" max="4097" width="11" style="69" customWidth="1"/>
    <col min="4098" max="4099" width="12.5703125" style="69" customWidth="1"/>
    <col min="4100" max="4100" width="9.140625" style="69"/>
    <col min="4101" max="4101" width="12.28515625" style="69" customWidth="1"/>
    <col min="4102" max="4102" width="14.85546875" style="69" customWidth="1"/>
    <col min="4103" max="4103" width="12.5703125" style="69" customWidth="1"/>
    <col min="4104" max="4104" width="14.42578125" style="69" customWidth="1"/>
    <col min="4105" max="4105" width="11" style="69" customWidth="1"/>
    <col min="4106" max="4106" width="11.140625" style="69" customWidth="1"/>
    <col min="4107" max="4108" width="11.42578125" style="69" customWidth="1"/>
    <col min="4109" max="4109" width="11.140625" style="69" customWidth="1"/>
    <col min="4110" max="4110" width="13" style="69" customWidth="1"/>
    <col min="4111" max="4341" width="9.140625" style="69"/>
    <col min="4342" max="4342" width="5.28515625" style="69" customWidth="1"/>
    <col min="4343" max="4343" width="37.28515625" style="69" customWidth="1"/>
    <col min="4344" max="4347" width="14.42578125" style="69" customWidth="1"/>
    <col min="4348" max="4348" width="9.85546875" style="69" customWidth="1"/>
    <col min="4349" max="4350" width="16" style="69" customWidth="1"/>
    <col min="4351" max="4351" width="16.5703125" style="69" customWidth="1"/>
    <col min="4352" max="4352" width="12.140625" style="69" customWidth="1"/>
    <col min="4353" max="4353" width="11" style="69" customWidth="1"/>
    <col min="4354" max="4355" width="12.5703125" style="69" customWidth="1"/>
    <col min="4356" max="4356" width="9.140625" style="69"/>
    <col min="4357" max="4357" width="12.28515625" style="69" customWidth="1"/>
    <col min="4358" max="4358" width="14.85546875" style="69" customWidth="1"/>
    <col min="4359" max="4359" width="12.5703125" style="69" customWidth="1"/>
    <col min="4360" max="4360" width="14.42578125" style="69" customWidth="1"/>
    <col min="4361" max="4361" width="11" style="69" customWidth="1"/>
    <col min="4362" max="4362" width="11.140625" style="69" customWidth="1"/>
    <col min="4363" max="4364" width="11.42578125" style="69" customWidth="1"/>
    <col min="4365" max="4365" width="11.140625" style="69" customWidth="1"/>
    <col min="4366" max="4366" width="13" style="69" customWidth="1"/>
    <col min="4367" max="4597" width="9.140625" style="69"/>
    <col min="4598" max="4598" width="5.28515625" style="69" customWidth="1"/>
    <col min="4599" max="4599" width="37.28515625" style="69" customWidth="1"/>
    <col min="4600" max="4603" width="14.42578125" style="69" customWidth="1"/>
    <col min="4604" max="4604" width="9.85546875" style="69" customWidth="1"/>
    <col min="4605" max="4606" width="16" style="69" customWidth="1"/>
    <col min="4607" max="4607" width="16.5703125" style="69" customWidth="1"/>
    <col min="4608" max="4608" width="12.140625" style="69" customWidth="1"/>
    <col min="4609" max="4609" width="11" style="69" customWidth="1"/>
    <col min="4610" max="4611" width="12.5703125" style="69" customWidth="1"/>
    <col min="4612" max="4612" width="9.140625" style="69"/>
    <col min="4613" max="4613" width="12.28515625" style="69" customWidth="1"/>
    <col min="4614" max="4614" width="14.85546875" style="69" customWidth="1"/>
    <col min="4615" max="4615" width="12.5703125" style="69" customWidth="1"/>
    <col min="4616" max="4616" width="14.42578125" style="69" customWidth="1"/>
    <col min="4617" max="4617" width="11" style="69" customWidth="1"/>
    <col min="4618" max="4618" width="11.140625" style="69" customWidth="1"/>
    <col min="4619" max="4620" width="11.42578125" style="69" customWidth="1"/>
    <col min="4621" max="4621" width="11.140625" style="69" customWidth="1"/>
    <col min="4622" max="4622" width="13" style="69" customWidth="1"/>
    <col min="4623" max="4853" width="9.140625" style="69"/>
    <col min="4854" max="4854" width="5.28515625" style="69" customWidth="1"/>
    <col min="4855" max="4855" width="37.28515625" style="69" customWidth="1"/>
    <col min="4856" max="4859" width="14.42578125" style="69" customWidth="1"/>
    <col min="4860" max="4860" width="9.85546875" style="69" customWidth="1"/>
    <col min="4861" max="4862" width="16" style="69" customWidth="1"/>
    <col min="4863" max="4863" width="16.5703125" style="69" customWidth="1"/>
    <col min="4864" max="4864" width="12.140625" style="69" customWidth="1"/>
    <col min="4865" max="4865" width="11" style="69" customWidth="1"/>
    <col min="4866" max="4867" width="12.5703125" style="69" customWidth="1"/>
    <col min="4868" max="4868" width="9.140625" style="69"/>
    <col min="4869" max="4869" width="12.28515625" style="69" customWidth="1"/>
    <col min="4870" max="4870" width="14.85546875" style="69" customWidth="1"/>
    <col min="4871" max="4871" width="12.5703125" style="69" customWidth="1"/>
    <col min="4872" max="4872" width="14.42578125" style="69" customWidth="1"/>
    <col min="4873" max="4873" width="11" style="69" customWidth="1"/>
    <col min="4874" max="4874" width="11.140625" style="69" customWidth="1"/>
    <col min="4875" max="4876" width="11.42578125" style="69" customWidth="1"/>
    <col min="4877" max="4877" width="11.140625" style="69" customWidth="1"/>
    <col min="4878" max="4878" width="13" style="69" customWidth="1"/>
    <col min="4879" max="5109" width="9.140625" style="69"/>
    <col min="5110" max="5110" width="5.28515625" style="69" customWidth="1"/>
    <col min="5111" max="5111" width="37.28515625" style="69" customWidth="1"/>
    <col min="5112" max="5115" width="14.42578125" style="69" customWidth="1"/>
    <col min="5116" max="5116" width="9.85546875" style="69" customWidth="1"/>
    <col min="5117" max="5118" width="16" style="69" customWidth="1"/>
    <col min="5119" max="5119" width="16.5703125" style="69" customWidth="1"/>
    <col min="5120" max="5120" width="12.140625" style="69" customWidth="1"/>
    <col min="5121" max="5121" width="11" style="69" customWidth="1"/>
    <col min="5122" max="5123" width="12.5703125" style="69" customWidth="1"/>
    <col min="5124" max="5124" width="9.140625" style="69"/>
    <col min="5125" max="5125" width="12.28515625" style="69" customWidth="1"/>
    <col min="5126" max="5126" width="14.85546875" style="69" customWidth="1"/>
    <col min="5127" max="5127" width="12.5703125" style="69" customWidth="1"/>
    <col min="5128" max="5128" width="14.42578125" style="69" customWidth="1"/>
    <col min="5129" max="5129" width="11" style="69" customWidth="1"/>
    <col min="5130" max="5130" width="11.140625" style="69" customWidth="1"/>
    <col min="5131" max="5132" width="11.42578125" style="69" customWidth="1"/>
    <col min="5133" max="5133" width="11.140625" style="69" customWidth="1"/>
    <col min="5134" max="5134" width="13" style="69" customWidth="1"/>
    <col min="5135" max="5365" width="9.140625" style="69"/>
    <col min="5366" max="5366" width="5.28515625" style="69" customWidth="1"/>
    <col min="5367" max="5367" width="37.28515625" style="69" customWidth="1"/>
    <col min="5368" max="5371" width="14.42578125" style="69" customWidth="1"/>
    <col min="5372" max="5372" width="9.85546875" style="69" customWidth="1"/>
    <col min="5373" max="5374" width="16" style="69" customWidth="1"/>
    <col min="5375" max="5375" width="16.5703125" style="69" customWidth="1"/>
    <col min="5376" max="5376" width="12.140625" style="69" customWidth="1"/>
    <col min="5377" max="5377" width="11" style="69" customWidth="1"/>
    <col min="5378" max="5379" width="12.5703125" style="69" customWidth="1"/>
    <col min="5380" max="5380" width="9.140625" style="69"/>
    <col min="5381" max="5381" width="12.28515625" style="69" customWidth="1"/>
    <col min="5382" max="5382" width="14.85546875" style="69" customWidth="1"/>
    <col min="5383" max="5383" width="12.5703125" style="69" customWidth="1"/>
    <col min="5384" max="5384" width="14.42578125" style="69" customWidth="1"/>
    <col min="5385" max="5385" width="11" style="69" customWidth="1"/>
    <col min="5386" max="5386" width="11.140625" style="69" customWidth="1"/>
    <col min="5387" max="5388" width="11.42578125" style="69" customWidth="1"/>
    <col min="5389" max="5389" width="11.140625" style="69" customWidth="1"/>
    <col min="5390" max="5390" width="13" style="69" customWidth="1"/>
    <col min="5391" max="5621" width="9.140625" style="69"/>
    <col min="5622" max="5622" width="5.28515625" style="69" customWidth="1"/>
    <col min="5623" max="5623" width="37.28515625" style="69" customWidth="1"/>
    <col min="5624" max="5627" width="14.42578125" style="69" customWidth="1"/>
    <col min="5628" max="5628" width="9.85546875" style="69" customWidth="1"/>
    <col min="5629" max="5630" width="16" style="69" customWidth="1"/>
    <col min="5631" max="5631" width="16.5703125" style="69" customWidth="1"/>
    <col min="5632" max="5632" width="12.140625" style="69" customWidth="1"/>
    <col min="5633" max="5633" width="11" style="69" customWidth="1"/>
    <col min="5634" max="5635" width="12.5703125" style="69" customWidth="1"/>
    <col min="5636" max="5636" width="9.140625" style="69"/>
    <col min="5637" max="5637" width="12.28515625" style="69" customWidth="1"/>
    <col min="5638" max="5638" width="14.85546875" style="69" customWidth="1"/>
    <col min="5639" max="5639" width="12.5703125" style="69" customWidth="1"/>
    <col min="5640" max="5640" width="14.42578125" style="69" customWidth="1"/>
    <col min="5641" max="5641" width="11" style="69" customWidth="1"/>
    <col min="5642" max="5642" width="11.140625" style="69" customWidth="1"/>
    <col min="5643" max="5644" width="11.42578125" style="69" customWidth="1"/>
    <col min="5645" max="5645" width="11.140625" style="69" customWidth="1"/>
    <col min="5646" max="5646" width="13" style="69" customWidth="1"/>
    <col min="5647" max="5877" width="9.140625" style="69"/>
    <col min="5878" max="5878" width="5.28515625" style="69" customWidth="1"/>
    <col min="5879" max="5879" width="37.28515625" style="69" customWidth="1"/>
    <col min="5880" max="5883" width="14.42578125" style="69" customWidth="1"/>
    <col min="5884" max="5884" width="9.85546875" style="69" customWidth="1"/>
    <col min="5885" max="5886" width="16" style="69" customWidth="1"/>
    <col min="5887" max="5887" width="16.5703125" style="69" customWidth="1"/>
    <col min="5888" max="5888" width="12.140625" style="69" customWidth="1"/>
    <col min="5889" max="5889" width="11" style="69" customWidth="1"/>
    <col min="5890" max="5891" width="12.5703125" style="69" customWidth="1"/>
    <col min="5892" max="5892" width="9.140625" style="69"/>
    <col min="5893" max="5893" width="12.28515625" style="69" customWidth="1"/>
    <col min="5894" max="5894" width="14.85546875" style="69" customWidth="1"/>
    <col min="5895" max="5895" width="12.5703125" style="69" customWidth="1"/>
    <col min="5896" max="5896" width="14.42578125" style="69" customWidth="1"/>
    <col min="5897" max="5897" width="11" style="69" customWidth="1"/>
    <col min="5898" max="5898" width="11.140625" style="69" customWidth="1"/>
    <col min="5899" max="5900" width="11.42578125" style="69" customWidth="1"/>
    <col min="5901" max="5901" width="11.140625" style="69" customWidth="1"/>
    <col min="5902" max="5902" width="13" style="69" customWidth="1"/>
    <col min="5903" max="6133" width="9.140625" style="69"/>
    <col min="6134" max="6134" width="5.28515625" style="69" customWidth="1"/>
    <col min="6135" max="6135" width="37.28515625" style="69" customWidth="1"/>
    <col min="6136" max="6139" width="14.42578125" style="69" customWidth="1"/>
    <col min="6140" max="6140" width="9.85546875" style="69" customWidth="1"/>
    <col min="6141" max="6142" width="16" style="69" customWidth="1"/>
    <col min="6143" max="6143" width="16.5703125" style="69" customWidth="1"/>
    <col min="6144" max="6144" width="12.140625" style="69" customWidth="1"/>
    <col min="6145" max="6145" width="11" style="69" customWidth="1"/>
    <col min="6146" max="6147" width="12.5703125" style="69" customWidth="1"/>
    <col min="6148" max="6148" width="9.140625" style="69"/>
    <col min="6149" max="6149" width="12.28515625" style="69" customWidth="1"/>
    <col min="6150" max="6150" width="14.85546875" style="69" customWidth="1"/>
    <col min="6151" max="6151" width="12.5703125" style="69" customWidth="1"/>
    <col min="6152" max="6152" width="14.42578125" style="69" customWidth="1"/>
    <col min="6153" max="6153" width="11" style="69" customWidth="1"/>
    <col min="6154" max="6154" width="11.140625" style="69" customWidth="1"/>
    <col min="6155" max="6156" width="11.42578125" style="69" customWidth="1"/>
    <col min="6157" max="6157" width="11.140625" style="69" customWidth="1"/>
    <col min="6158" max="6158" width="13" style="69" customWidth="1"/>
    <col min="6159" max="6389" width="9.140625" style="69"/>
    <col min="6390" max="6390" width="5.28515625" style="69" customWidth="1"/>
    <col min="6391" max="6391" width="37.28515625" style="69" customWidth="1"/>
    <col min="6392" max="6395" width="14.42578125" style="69" customWidth="1"/>
    <col min="6396" max="6396" width="9.85546875" style="69" customWidth="1"/>
    <col min="6397" max="6398" width="16" style="69" customWidth="1"/>
    <col min="6399" max="6399" width="16.5703125" style="69" customWidth="1"/>
    <col min="6400" max="6400" width="12.140625" style="69" customWidth="1"/>
    <col min="6401" max="6401" width="11" style="69" customWidth="1"/>
    <col min="6402" max="6403" width="12.5703125" style="69" customWidth="1"/>
    <col min="6404" max="6404" width="9.140625" style="69"/>
    <col min="6405" max="6405" width="12.28515625" style="69" customWidth="1"/>
    <col min="6406" max="6406" width="14.85546875" style="69" customWidth="1"/>
    <col min="6407" max="6407" width="12.5703125" style="69" customWidth="1"/>
    <col min="6408" max="6408" width="14.42578125" style="69" customWidth="1"/>
    <col min="6409" max="6409" width="11" style="69" customWidth="1"/>
    <col min="6410" max="6410" width="11.140625" style="69" customWidth="1"/>
    <col min="6411" max="6412" width="11.42578125" style="69" customWidth="1"/>
    <col min="6413" max="6413" width="11.140625" style="69" customWidth="1"/>
    <col min="6414" max="6414" width="13" style="69" customWidth="1"/>
    <col min="6415" max="6645" width="9.140625" style="69"/>
    <col min="6646" max="6646" width="5.28515625" style="69" customWidth="1"/>
    <col min="6647" max="6647" width="37.28515625" style="69" customWidth="1"/>
    <col min="6648" max="6651" width="14.42578125" style="69" customWidth="1"/>
    <col min="6652" max="6652" width="9.85546875" style="69" customWidth="1"/>
    <col min="6653" max="6654" width="16" style="69" customWidth="1"/>
    <col min="6655" max="6655" width="16.5703125" style="69" customWidth="1"/>
    <col min="6656" max="6656" width="12.140625" style="69" customWidth="1"/>
    <col min="6657" max="6657" width="11" style="69" customWidth="1"/>
    <col min="6658" max="6659" width="12.5703125" style="69" customWidth="1"/>
    <col min="6660" max="6660" width="9.140625" style="69"/>
    <col min="6661" max="6661" width="12.28515625" style="69" customWidth="1"/>
    <col min="6662" max="6662" width="14.85546875" style="69" customWidth="1"/>
    <col min="6663" max="6663" width="12.5703125" style="69" customWidth="1"/>
    <col min="6664" max="6664" width="14.42578125" style="69" customWidth="1"/>
    <col min="6665" max="6665" width="11" style="69" customWidth="1"/>
    <col min="6666" max="6666" width="11.140625" style="69" customWidth="1"/>
    <col min="6667" max="6668" width="11.42578125" style="69" customWidth="1"/>
    <col min="6669" max="6669" width="11.140625" style="69" customWidth="1"/>
    <col min="6670" max="6670" width="13" style="69" customWidth="1"/>
    <col min="6671" max="6901" width="9.140625" style="69"/>
    <col min="6902" max="6902" width="5.28515625" style="69" customWidth="1"/>
    <col min="6903" max="6903" width="37.28515625" style="69" customWidth="1"/>
    <col min="6904" max="6907" width="14.42578125" style="69" customWidth="1"/>
    <col min="6908" max="6908" width="9.85546875" style="69" customWidth="1"/>
    <col min="6909" max="6910" width="16" style="69" customWidth="1"/>
    <col min="6911" max="6911" width="16.5703125" style="69" customWidth="1"/>
    <col min="6912" max="6912" width="12.140625" style="69" customWidth="1"/>
    <col min="6913" max="6913" width="11" style="69" customWidth="1"/>
    <col min="6914" max="6915" width="12.5703125" style="69" customWidth="1"/>
    <col min="6916" max="6916" width="9.140625" style="69"/>
    <col min="6917" max="6917" width="12.28515625" style="69" customWidth="1"/>
    <col min="6918" max="6918" width="14.85546875" style="69" customWidth="1"/>
    <col min="6919" max="6919" width="12.5703125" style="69" customWidth="1"/>
    <col min="6920" max="6920" width="14.42578125" style="69" customWidth="1"/>
    <col min="6921" max="6921" width="11" style="69" customWidth="1"/>
    <col min="6922" max="6922" width="11.140625" style="69" customWidth="1"/>
    <col min="6923" max="6924" width="11.42578125" style="69" customWidth="1"/>
    <col min="6925" max="6925" width="11.140625" style="69" customWidth="1"/>
    <col min="6926" max="6926" width="13" style="69" customWidth="1"/>
    <col min="6927" max="7157" width="9.140625" style="69"/>
    <col min="7158" max="7158" width="5.28515625" style="69" customWidth="1"/>
    <col min="7159" max="7159" width="37.28515625" style="69" customWidth="1"/>
    <col min="7160" max="7163" width="14.42578125" style="69" customWidth="1"/>
    <col min="7164" max="7164" width="9.85546875" style="69" customWidth="1"/>
    <col min="7165" max="7166" width="16" style="69" customWidth="1"/>
    <col min="7167" max="7167" width="16.5703125" style="69" customWidth="1"/>
    <col min="7168" max="7168" width="12.140625" style="69" customWidth="1"/>
    <col min="7169" max="7169" width="11" style="69" customWidth="1"/>
    <col min="7170" max="7171" width="12.5703125" style="69" customWidth="1"/>
    <col min="7172" max="7172" width="9.140625" style="69"/>
    <col min="7173" max="7173" width="12.28515625" style="69" customWidth="1"/>
    <col min="7174" max="7174" width="14.85546875" style="69" customWidth="1"/>
    <col min="7175" max="7175" width="12.5703125" style="69" customWidth="1"/>
    <col min="7176" max="7176" width="14.42578125" style="69" customWidth="1"/>
    <col min="7177" max="7177" width="11" style="69" customWidth="1"/>
    <col min="7178" max="7178" width="11.140625" style="69" customWidth="1"/>
    <col min="7179" max="7180" width="11.42578125" style="69" customWidth="1"/>
    <col min="7181" max="7181" width="11.140625" style="69" customWidth="1"/>
    <col min="7182" max="7182" width="13" style="69" customWidth="1"/>
    <col min="7183" max="7413" width="9.140625" style="69"/>
    <col min="7414" max="7414" width="5.28515625" style="69" customWidth="1"/>
    <col min="7415" max="7415" width="37.28515625" style="69" customWidth="1"/>
    <col min="7416" max="7419" width="14.42578125" style="69" customWidth="1"/>
    <col min="7420" max="7420" width="9.85546875" style="69" customWidth="1"/>
    <col min="7421" max="7422" width="16" style="69" customWidth="1"/>
    <col min="7423" max="7423" width="16.5703125" style="69" customWidth="1"/>
    <col min="7424" max="7424" width="12.140625" style="69" customWidth="1"/>
    <col min="7425" max="7425" width="11" style="69" customWidth="1"/>
    <col min="7426" max="7427" width="12.5703125" style="69" customWidth="1"/>
    <col min="7428" max="7428" width="9.140625" style="69"/>
    <col min="7429" max="7429" width="12.28515625" style="69" customWidth="1"/>
    <col min="7430" max="7430" width="14.85546875" style="69" customWidth="1"/>
    <col min="7431" max="7431" width="12.5703125" style="69" customWidth="1"/>
    <col min="7432" max="7432" width="14.42578125" style="69" customWidth="1"/>
    <col min="7433" max="7433" width="11" style="69" customWidth="1"/>
    <col min="7434" max="7434" width="11.140625" style="69" customWidth="1"/>
    <col min="7435" max="7436" width="11.42578125" style="69" customWidth="1"/>
    <col min="7437" max="7437" width="11.140625" style="69" customWidth="1"/>
    <col min="7438" max="7438" width="13" style="69" customWidth="1"/>
    <col min="7439" max="7669" width="9.140625" style="69"/>
    <col min="7670" max="7670" width="5.28515625" style="69" customWidth="1"/>
    <col min="7671" max="7671" width="37.28515625" style="69" customWidth="1"/>
    <col min="7672" max="7675" width="14.42578125" style="69" customWidth="1"/>
    <col min="7676" max="7676" width="9.85546875" style="69" customWidth="1"/>
    <col min="7677" max="7678" width="16" style="69" customWidth="1"/>
    <col min="7679" max="7679" width="16.5703125" style="69" customWidth="1"/>
    <col min="7680" max="7680" width="12.140625" style="69" customWidth="1"/>
    <col min="7681" max="7681" width="11" style="69" customWidth="1"/>
    <col min="7682" max="7683" width="12.5703125" style="69" customWidth="1"/>
    <col min="7684" max="7684" width="9.140625" style="69"/>
    <col min="7685" max="7685" width="12.28515625" style="69" customWidth="1"/>
    <col min="7686" max="7686" width="14.85546875" style="69" customWidth="1"/>
    <col min="7687" max="7687" width="12.5703125" style="69" customWidth="1"/>
    <col min="7688" max="7688" width="14.42578125" style="69" customWidth="1"/>
    <col min="7689" max="7689" width="11" style="69" customWidth="1"/>
    <col min="7690" max="7690" width="11.140625" style="69" customWidth="1"/>
    <col min="7691" max="7692" width="11.42578125" style="69" customWidth="1"/>
    <col min="7693" max="7693" width="11.140625" style="69" customWidth="1"/>
    <col min="7694" max="7694" width="13" style="69" customWidth="1"/>
    <col min="7695" max="7925" width="9.140625" style="69"/>
    <col min="7926" max="7926" width="5.28515625" style="69" customWidth="1"/>
    <col min="7927" max="7927" width="37.28515625" style="69" customWidth="1"/>
    <col min="7928" max="7931" width="14.42578125" style="69" customWidth="1"/>
    <col min="7932" max="7932" width="9.85546875" style="69" customWidth="1"/>
    <col min="7933" max="7934" width="16" style="69" customWidth="1"/>
    <col min="7935" max="7935" width="16.5703125" style="69" customWidth="1"/>
    <col min="7936" max="7936" width="12.140625" style="69" customWidth="1"/>
    <col min="7937" max="7937" width="11" style="69" customWidth="1"/>
    <col min="7938" max="7939" width="12.5703125" style="69" customWidth="1"/>
    <col min="7940" max="7940" width="9.140625" style="69"/>
    <col min="7941" max="7941" width="12.28515625" style="69" customWidth="1"/>
    <col min="7942" max="7942" width="14.85546875" style="69" customWidth="1"/>
    <col min="7943" max="7943" width="12.5703125" style="69" customWidth="1"/>
    <col min="7944" max="7944" width="14.42578125" style="69" customWidth="1"/>
    <col min="7945" max="7945" width="11" style="69" customWidth="1"/>
    <col min="7946" max="7946" width="11.140625" style="69" customWidth="1"/>
    <col min="7947" max="7948" width="11.42578125" style="69" customWidth="1"/>
    <col min="7949" max="7949" width="11.140625" style="69" customWidth="1"/>
    <col min="7950" max="7950" width="13" style="69" customWidth="1"/>
    <col min="7951" max="8181" width="9.140625" style="69"/>
    <col min="8182" max="8182" width="5.28515625" style="69" customWidth="1"/>
    <col min="8183" max="8183" width="37.28515625" style="69" customWidth="1"/>
    <col min="8184" max="8187" width="14.42578125" style="69" customWidth="1"/>
    <col min="8188" max="8188" width="9.85546875" style="69" customWidth="1"/>
    <col min="8189" max="8190" width="16" style="69" customWidth="1"/>
    <col min="8191" max="8191" width="16.5703125" style="69" customWidth="1"/>
    <col min="8192" max="8192" width="12.140625" style="69" customWidth="1"/>
    <col min="8193" max="8193" width="11" style="69" customWidth="1"/>
    <col min="8194" max="8195" width="12.5703125" style="69" customWidth="1"/>
    <col min="8196" max="8196" width="9.140625" style="69"/>
    <col min="8197" max="8197" width="12.28515625" style="69" customWidth="1"/>
    <col min="8198" max="8198" width="14.85546875" style="69" customWidth="1"/>
    <col min="8199" max="8199" width="12.5703125" style="69" customWidth="1"/>
    <col min="8200" max="8200" width="14.42578125" style="69" customWidth="1"/>
    <col min="8201" max="8201" width="11" style="69" customWidth="1"/>
    <col min="8202" max="8202" width="11.140625" style="69" customWidth="1"/>
    <col min="8203" max="8204" width="11.42578125" style="69" customWidth="1"/>
    <col min="8205" max="8205" width="11.140625" style="69" customWidth="1"/>
    <col min="8206" max="8206" width="13" style="69" customWidth="1"/>
    <col min="8207" max="8437" width="9.140625" style="69"/>
    <col min="8438" max="8438" width="5.28515625" style="69" customWidth="1"/>
    <col min="8439" max="8439" width="37.28515625" style="69" customWidth="1"/>
    <col min="8440" max="8443" width="14.42578125" style="69" customWidth="1"/>
    <col min="8444" max="8444" width="9.85546875" style="69" customWidth="1"/>
    <col min="8445" max="8446" width="16" style="69" customWidth="1"/>
    <col min="8447" max="8447" width="16.5703125" style="69" customWidth="1"/>
    <col min="8448" max="8448" width="12.140625" style="69" customWidth="1"/>
    <col min="8449" max="8449" width="11" style="69" customWidth="1"/>
    <col min="8450" max="8451" width="12.5703125" style="69" customWidth="1"/>
    <col min="8452" max="8452" width="9.140625" style="69"/>
    <col min="8453" max="8453" width="12.28515625" style="69" customWidth="1"/>
    <col min="8454" max="8454" width="14.85546875" style="69" customWidth="1"/>
    <col min="8455" max="8455" width="12.5703125" style="69" customWidth="1"/>
    <col min="8456" max="8456" width="14.42578125" style="69" customWidth="1"/>
    <col min="8457" max="8457" width="11" style="69" customWidth="1"/>
    <col min="8458" max="8458" width="11.140625" style="69" customWidth="1"/>
    <col min="8459" max="8460" width="11.42578125" style="69" customWidth="1"/>
    <col min="8461" max="8461" width="11.140625" style="69" customWidth="1"/>
    <col min="8462" max="8462" width="13" style="69" customWidth="1"/>
    <col min="8463" max="8693" width="9.140625" style="69"/>
    <col min="8694" max="8694" width="5.28515625" style="69" customWidth="1"/>
    <col min="8695" max="8695" width="37.28515625" style="69" customWidth="1"/>
    <col min="8696" max="8699" width="14.42578125" style="69" customWidth="1"/>
    <col min="8700" max="8700" width="9.85546875" style="69" customWidth="1"/>
    <col min="8701" max="8702" width="16" style="69" customWidth="1"/>
    <col min="8703" max="8703" width="16.5703125" style="69" customWidth="1"/>
    <col min="8704" max="8704" width="12.140625" style="69" customWidth="1"/>
    <col min="8705" max="8705" width="11" style="69" customWidth="1"/>
    <col min="8706" max="8707" width="12.5703125" style="69" customWidth="1"/>
    <col min="8708" max="8708" width="9.140625" style="69"/>
    <col min="8709" max="8709" width="12.28515625" style="69" customWidth="1"/>
    <col min="8710" max="8710" width="14.85546875" style="69" customWidth="1"/>
    <col min="8711" max="8711" width="12.5703125" style="69" customWidth="1"/>
    <col min="8712" max="8712" width="14.42578125" style="69" customWidth="1"/>
    <col min="8713" max="8713" width="11" style="69" customWidth="1"/>
    <col min="8714" max="8714" width="11.140625" style="69" customWidth="1"/>
    <col min="8715" max="8716" width="11.42578125" style="69" customWidth="1"/>
    <col min="8717" max="8717" width="11.140625" style="69" customWidth="1"/>
    <col min="8718" max="8718" width="13" style="69" customWidth="1"/>
    <col min="8719" max="8949" width="9.140625" style="69"/>
    <col min="8950" max="8950" width="5.28515625" style="69" customWidth="1"/>
    <col min="8951" max="8951" width="37.28515625" style="69" customWidth="1"/>
    <col min="8952" max="8955" width="14.42578125" style="69" customWidth="1"/>
    <col min="8956" max="8956" width="9.85546875" style="69" customWidth="1"/>
    <col min="8957" max="8958" width="16" style="69" customWidth="1"/>
    <col min="8959" max="8959" width="16.5703125" style="69" customWidth="1"/>
    <col min="8960" max="8960" width="12.140625" style="69" customWidth="1"/>
    <col min="8961" max="8961" width="11" style="69" customWidth="1"/>
    <col min="8962" max="8963" width="12.5703125" style="69" customWidth="1"/>
    <col min="8964" max="8964" width="9.140625" style="69"/>
    <col min="8965" max="8965" width="12.28515625" style="69" customWidth="1"/>
    <col min="8966" max="8966" width="14.85546875" style="69" customWidth="1"/>
    <col min="8967" max="8967" width="12.5703125" style="69" customWidth="1"/>
    <col min="8968" max="8968" width="14.42578125" style="69" customWidth="1"/>
    <col min="8969" max="8969" width="11" style="69" customWidth="1"/>
    <col min="8970" max="8970" width="11.140625" style="69" customWidth="1"/>
    <col min="8971" max="8972" width="11.42578125" style="69" customWidth="1"/>
    <col min="8973" max="8973" width="11.140625" style="69" customWidth="1"/>
    <col min="8974" max="8974" width="13" style="69" customWidth="1"/>
    <col min="8975" max="9205" width="9.140625" style="69"/>
    <col min="9206" max="9206" width="5.28515625" style="69" customWidth="1"/>
    <col min="9207" max="9207" width="37.28515625" style="69" customWidth="1"/>
    <col min="9208" max="9211" width="14.42578125" style="69" customWidth="1"/>
    <col min="9212" max="9212" width="9.85546875" style="69" customWidth="1"/>
    <col min="9213" max="9214" width="16" style="69" customWidth="1"/>
    <col min="9215" max="9215" width="16.5703125" style="69" customWidth="1"/>
    <col min="9216" max="9216" width="12.140625" style="69" customWidth="1"/>
    <col min="9217" max="9217" width="11" style="69" customWidth="1"/>
    <col min="9218" max="9219" width="12.5703125" style="69" customWidth="1"/>
    <col min="9220" max="9220" width="9.140625" style="69"/>
    <col min="9221" max="9221" width="12.28515625" style="69" customWidth="1"/>
    <col min="9222" max="9222" width="14.85546875" style="69" customWidth="1"/>
    <col min="9223" max="9223" width="12.5703125" style="69" customWidth="1"/>
    <col min="9224" max="9224" width="14.42578125" style="69" customWidth="1"/>
    <col min="9225" max="9225" width="11" style="69" customWidth="1"/>
    <col min="9226" max="9226" width="11.140625" style="69" customWidth="1"/>
    <col min="9227" max="9228" width="11.42578125" style="69" customWidth="1"/>
    <col min="9229" max="9229" width="11.140625" style="69" customWidth="1"/>
    <col min="9230" max="9230" width="13" style="69" customWidth="1"/>
    <col min="9231" max="9461" width="9.140625" style="69"/>
    <col min="9462" max="9462" width="5.28515625" style="69" customWidth="1"/>
    <col min="9463" max="9463" width="37.28515625" style="69" customWidth="1"/>
    <col min="9464" max="9467" width="14.42578125" style="69" customWidth="1"/>
    <col min="9468" max="9468" width="9.85546875" style="69" customWidth="1"/>
    <col min="9469" max="9470" width="16" style="69" customWidth="1"/>
    <col min="9471" max="9471" width="16.5703125" style="69" customWidth="1"/>
    <col min="9472" max="9472" width="12.140625" style="69" customWidth="1"/>
    <col min="9473" max="9473" width="11" style="69" customWidth="1"/>
    <col min="9474" max="9475" width="12.5703125" style="69" customWidth="1"/>
    <col min="9476" max="9476" width="9.140625" style="69"/>
    <col min="9477" max="9477" width="12.28515625" style="69" customWidth="1"/>
    <col min="9478" max="9478" width="14.85546875" style="69" customWidth="1"/>
    <col min="9479" max="9479" width="12.5703125" style="69" customWidth="1"/>
    <col min="9480" max="9480" width="14.42578125" style="69" customWidth="1"/>
    <col min="9481" max="9481" width="11" style="69" customWidth="1"/>
    <col min="9482" max="9482" width="11.140625" style="69" customWidth="1"/>
    <col min="9483" max="9484" width="11.42578125" style="69" customWidth="1"/>
    <col min="9485" max="9485" width="11.140625" style="69" customWidth="1"/>
    <col min="9486" max="9486" width="13" style="69" customWidth="1"/>
    <col min="9487" max="9717" width="9.140625" style="69"/>
    <col min="9718" max="9718" width="5.28515625" style="69" customWidth="1"/>
    <col min="9719" max="9719" width="37.28515625" style="69" customWidth="1"/>
    <col min="9720" max="9723" width="14.42578125" style="69" customWidth="1"/>
    <col min="9724" max="9724" width="9.85546875" style="69" customWidth="1"/>
    <col min="9725" max="9726" width="16" style="69" customWidth="1"/>
    <col min="9727" max="9727" width="16.5703125" style="69" customWidth="1"/>
    <col min="9728" max="9728" width="12.140625" style="69" customWidth="1"/>
    <col min="9729" max="9729" width="11" style="69" customWidth="1"/>
    <col min="9730" max="9731" width="12.5703125" style="69" customWidth="1"/>
    <col min="9732" max="9732" width="9.140625" style="69"/>
    <col min="9733" max="9733" width="12.28515625" style="69" customWidth="1"/>
    <col min="9734" max="9734" width="14.85546875" style="69" customWidth="1"/>
    <col min="9735" max="9735" width="12.5703125" style="69" customWidth="1"/>
    <col min="9736" max="9736" width="14.42578125" style="69" customWidth="1"/>
    <col min="9737" max="9737" width="11" style="69" customWidth="1"/>
    <col min="9738" max="9738" width="11.140625" style="69" customWidth="1"/>
    <col min="9739" max="9740" width="11.42578125" style="69" customWidth="1"/>
    <col min="9741" max="9741" width="11.140625" style="69" customWidth="1"/>
    <col min="9742" max="9742" width="13" style="69" customWidth="1"/>
    <col min="9743" max="9973" width="9.140625" style="69"/>
    <col min="9974" max="9974" width="5.28515625" style="69" customWidth="1"/>
    <col min="9975" max="9975" width="37.28515625" style="69" customWidth="1"/>
    <col min="9976" max="9979" width="14.42578125" style="69" customWidth="1"/>
    <col min="9980" max="9980" width="9.85546875" style="69" customWidth="1"/>
    <col min="9981" max="9982" width="16" style="69" customWidth="1"/>
    <col min="9983" max="9983" width="16.5703125" style="69" customWidth="1"/>
    <col min="9984" max="9984" width="12.140625" style="69" customWidth="1"/>
    <col min="9985" max="9985" width="11" style="69" customWidth="1"/>
    <col min="9986" max="9987" width="12.5703125" style="69" customWidth="1"/>
    <col min="9988" max="9988" width="9.140625" style="69"/>
    <col min="9989" max="9989" width="12.28515625" style="69" customWidth="1"/>
    <col min="9990" max="9990" width="14.85546875" style="69" customWidth="1"/>
    <col min="9991" max="9991" width="12.5703125" style="69" customWidth="1"/>
    <col min="9992" max="9992" width="14.42578125" style="69" customWidth="1"/>
    <col min="9993" max="9993" width="11" style="69" customWidth="1"/>
    <col min="9994" max="9994" width="11.140625" style="69" customWidth="1"/>
    <col min="9995" max="9996" width="11.42578125" style="69" customWidth="1"/>
    <col min="9997" max="9997" width="11.140625" style="69" customWidth="1"/>
    <col min="9998" max="9998" width="13" style="69" customWidth="1"/>
    <col min="9999" max="10229" width="9.140625" style="69"/>
    <col min="10230" max="10230" width="5.28515625" style="69" customWidth="1"/>
    <col min="10231" max="10231" width="37.28515625" style="69" customWidth="1"/>
    <col min="10232" max="10235" width="14.42578125" style="69" customWidth="1"/>
    <col min="10236" max="10236" width="9.85546875" style="69" customWidth="1"/>
    <col min="10237" max="10238" width="16" style="69" customWidth="1"/>
    <col min="10239" max="10239" width="16.5703125" style="69" customWidth="1"/>
    <col min="10240" max="10240" width="12.140625" style="69" customWidth="1"/>
    <col min="10241" max="10241" width="11" style="69" customWidth="1"/>
    <col min="10242" max="10243" width="12.5703125" style="69" customWidth="1"/>
    <col min="10244" max="10244" width="9.140625" style="69"/>
    <col min="10245" max="10245" width="12.28515625" style="69" customWidth="1"/>
    <col min="10246" max="10246" width="14.85546875" style="69" customWidth="1"/>
    <col min="10247" max="10247" width="12.5703125" style="69" customWidth="1"/>
    <col min="10248" max="10248" width="14.42578125" style="69" customWidth="1"/>
    <col min="10249" max="10249" width="11" style="69" customWidth="1"/>
    <col min="10250" max="10250" width="11.140625" style="69" customWidth="1"/>
    <col min="10251" max="10252" width="11.42578125" style="69" customWidth="1"/>
    <col min="10253" max="10253" width="11.140625" style="69" customWidth="1"/>
    <col min="10254" max="10254" width="13" style="69" customWidth="1"/>
    <col min="10255" max="10485" width="9.140625" style="69"/>
    <col min="10486" max="10486" width="5.28515625" style="69" customWidth="1"/>
    <col min="10487" max="10487" width="37.28515625" style="69" customWidth="1"/>
    <col min="10488" max="10491" width="14.42578125" style="69" customWidth="1"/>
    <col min="10492" max="10492" width="9.85546875" style="69" customWidth="1"/>
    <col min="10493" max="10494" width="16" style="69" customWidth="1"/>
    <col min="10495" max="10495" width="16.5703125" style="69" customWidth="1"/>
    <col min="10496" max="10496" width="12.140625" style="69" customWidth="1"/>
    <col min="10497" max="10497" width="11" style="69" customWidth="1"/>
    <col min="10498" max="10499" width="12.5703125" style="69" customWidth="1"/>
    <col min="10500" max="10500" width="9.140625" style="69"/>
    <col min="10501" max="10501" width="12.28515625" style="69" customWidth="1"/>
    <col min="10502" max="10502" width="14.85546875" style="69" customWidth="1"/>
    <col min="10503" max="10503" width="12.5703125" style="69" customWidth="1"/>
    <col min="10504" max="10504" width="14.42578125" style="69" customWidth="1"/>
    <col min="10505" max="10505" width="11" style="69" customWidth="1"/>
    <col min="10506" max="10506" width="11.140625" style="69" customWidth="1"/>
    <col min="10507" max="10508" width="11.42578125" style="69" customWidth="1"/>
    <col min="10509" max="10509" width="11.140625" style="69" customWidth="1"/>
    <col min="10510" max="10510" width="13" style="69" customWidth="1"/>
    <col min="10511" max="10741" width="9.140625" style="69"/>
    <col min="10742" max="10742" width="5.28515625" style="69" customWidth="1"/>
    <col min="10743" max="10743" width="37.28515625" style="69" customWidth="1"/>
    <col min="10744" max="10747" width="14.42578125" style="69" customWidth="1"/>
    <col min="10748" max="10748" width="9.85546875" style="69" customWidth="1"/>
    <col min="10749" max="10750" width="16" style="69" customWidth="1"/>
    <col min="10751" max="10751" width="16.5703125" style="69" customWidth="1"/>
    <col min="10752" max="10752" width="12.140625" style="69" customWidth="1"/>
    <col min="10753" max="10753" width="11" style="69" customWidth="1"/>
    <col min="10754" max="10755" width="12.5703125" style="69" customWidth="1"/>
    <col min="10756" max="10756" width="9.140625" style="69"/>
    <col min="10757" max="10757" width="12.28515625" style="69" customWidth="1"/>
    <col min="10758" max="10758" width="14.85546875" style="69" customWidth="1"/>
    <col min="10759" max="10759" width="12.5703125" style="69" customWidth="1"/>
    <col min="10760" max="10760" width="14.42578125" style="69" customWidth="1"/>
    <col min="10761" max="10761" width="11" style="69" customWidth="1"/>
    <col min="10762" max="10762" width="11.140625" style="69" customWidth="1"/>
    <col min="10763" max="10764" width="11.42578125" style="69" customWidth="1"/>
    <col min="10765" max="10765" width="11.140625" style="69" customWidth="1"/>
    <col min="10766" max="10766" width="13" style="69" customWidth="1"/>
    <col min="10767" max="10997" width="9.140625" style="69"/>
    <col min="10998" max="10998" width="5.28515625" style="69" customWidth="1"/>
    <col min="10999" max="10999" width="37.28515625" style="69" customWidth="1"/>
    <col min="11000" max="11003" width="14.42578125" style="69" customWidth="1"/>
    <col min="11004" max="11004" width="9.85546875" style="69" customWidth="1"/>
    <col min="11005" max="11006" width="16" style="69" customWidth="1"/>
    <col min="11007" max="11007" width="16.5703125" style="69" customWidth="1"/>
    <col min="11008" max="11008" width="12.140625" style="69" customWidth="1"/>
    <col min="11009" max="11009" width="11" style="69" customWidth="1"/>
    <col min="11010" max="11011" width="12.5703125" style="69" customWidth="1"/>
    <col min="11012" max="11012" width="9.140625" style="69"/>
    <col min="11013" max="11013" width="12.28515625" style="69" customWidth="1"/>
    <col min="11014" max="11014" width="14.85546875" style="69" customWidth="1"/>
    <col min="11015" max="11015" width="12.5703125" style="69" customWidth="1"/>
    <col min="11016" max="11016" width="14.42578125" style="69" customWidth="1"/>
    <col min="11017" max="11017" width="11" style="69" customWidth="1"/>
    <col min="11018" max="11018" width="11.140625" style="69" customWidth="1"/>
    <col min="11019" max="11020" width="11.42578125" style="69" customWidth="1"/>
    <col min="11021" max="11021" width="11.140625" style="69" customWidth="1"/>
    <col min="11022" max="11022" width="13" style="69" customWidth="1"/>
    <col min="11023" max="11253" width="9.140625" style="69"/>
    <col min="11254" max="11254" width="5.28515625" style="69" customWidth="1"/>
    <col min="11255" max="11255" width="37.28515625" style="69" customWidth="1"/>
    <col min="11256" max="11259" width="14.42578125" style="69" customWidth="1"/>
    <col min="11260" max="11260" width="9.85546875" style="69" customWidth="1"/>
    <col min="11261" max="11262" width="16" style="69" customWidth="1"/>
    <col min="11263" max="11263" width="16.5703125" style="69" customWidth="1"/>
    <col min="11264" max="11264" width="12.140625" style="69" customWidth="1"/>
    <col min="11265" max="11265" width="11" style="69" customWidth="1"/>
    <col min="11266" max="11267" width="12.5703125" style="69" customWidth="1"/>
    <col min="11268" max="11268" width="9.140625" style="69"/>
    <col min="11269" max="11269" width="12.28515625" style="69" customWidth="1"/>
    <col min="11270" max="11270" width="14.85546875" style="69" customWidth="1"/>
    <col min="11271" max="11271" width="12.5703125" style="69" customWidth="1"/>
    <col min="11272" max="11272" width="14.42578125" style="69" customWidth="1"/>
    <col min="11273" max="11273" width="11" style="69" customWidth="1"/>
    <col min="11274" max="11274" width="11.140625" style="69" customWidth="1"/>
    <col min="11275" max="11276" width="11.42578125" style="69" customWidth="1"/>
    <col min="11277" max="11277" width="11.140625" style="69" customWidth="1"/>
    <col min="11278" max="11278" width="13" style="69" customWidth="1"/>
    <col min="11279" max="11509" width="9.140625" style="69"/>
    <col min="11510" max="11510" width="5.28515625" style="69" customWidth="1"/>
    <col min="11511" max="11511" width="37.28515625" style="69" customWidth="1"/>
    <col min="11512" max="11515" width="14.42578125" style="69" customWidth="1"/>
    <col min="11516" max="11516" width="9.85546875" style="69" customWidth="1"/>
    <col min="11517" max="11518" width="16" style="69" customWidth="1"/>
    <col min="11519" max="11519" width="16.5703125" style="69" customWidth="1"/>
    <col min="11520" max="11520" width="12.140625" style="69" customWidth="1"/>
    <col min="11521" max="11521" width="11" style="69" customWidth="1"/>
    <col min="11522" max="11523" width="12.5703125" style="69" customWidth="1"/>
    <col min="11524" max="11524" width="9.140625" style="69"/>
    <col min="11525" max="11525" width="12.28515625" style="69" customWidth="1"/>
    <col min="11526" max="11526" width="14.85546875" style="69" customWidth="1"/>
    <col min="11527" max="11527" width="12.5703125" style="69" customWidth="1"/>
    <col min="11528" max="11528" width="14.42578125" style="69" customWidth="1"/>
    <col min="11529" max="11529" width="11" style="69" customWidth="1"/>
    <col min="11530" max="11530" width="11.140625" style="69" customWidth="1"/>
    <col min="11531" max="11532" width="11.42578125" style="69" customWidth="1"/>
    <col min="11533" max="11533" width="11.140625" style="69" customWidth="1"/>
    <col min="11534" max="11534" width="13" style="69" customWidth="1"/>
    <col min="11535" max="11765" width="9.140625" style="69"/>
    <col min="11766" max="11766" width="5.28515625" style="69" customWidth="1"/>
    <col min="11767" max="11767" width="37.28515625" style="69" customWidth="1"/>
    <col min="11768" max="11771" width="14.42578125" style="69" customWidth="1"/>
    <col min="11772" max="11772" width="9.85546875" style="69" customWidth="1"/>
    <col min="11773" max="11774" width="16" style="69" customWidth="1"/>
    <col min="11775" max="11775" width="16.5703125" style="69" customWidth="1"/>
    <col min="11776" max="11776" width="12.140625" style="69" customWidth="1"/>
    <col min="11777" max="11777" width="11" style="69" customWidth="1"/>
    <col min="11778" max="11779" width="12.5703125" style="69" customWidth="1"/>
    <col min="11780" max="11780" width="9.140625" style="69"/>
    <col min="11781" max="11781" width="12.28515625" style="69" customWidth="1"/>
    <col min="11782" max="11782" width="14.85546875" style="69" customWidth="1"/>
    <col min="11783" max="11783" width="12.5703125" style="69" customWidth="1"/>
    <col min="11784" max="11784" width="14.42578125" style="69" customWidth="1"/>
    <col min="11785" max="11785" width="11" style="69" customWidth="1"/>
    <col min="11786" max="11786" width="11.140625" style="69" customWidth="1"/>
    <col min="11787" max="11788" width="11.42578125" style="69" customWidth="1"/>
    <col min="11789" max="11789" width="11.140625" style="69" customWidth="1"/>
    <col min="11790" max="11790" width="13" style="69" customWidth="1"/>
    <col min="11791" max="12021" width="9.140625" style="69"/>
    <col min="12022" max="12022" width="5.28515625" style="69" customWidth="1"/>
    <col min="12023" max="12023" width="37.28515625" style="69" customWidth="1"/>
    <col min="12024" max="12027" width="14.42578125" style="69" customWidth="1"/>
    <col min="12028" max="12028" width="9.85546875" style="69" customWidth="1"/>
    <col min="12029" max="12030" width="16" style="69" customWidth="1"/>
    <col min="12031" max="12031" width="16.5703125" style="69" customWidth="1"/>
    <col min="12032" max="12032" width="12.140625" style="69" customWidth="1"/>
    <col min="12033" max="12033" width="11" style="69" customWidth="1"/>
    <col min="12034" max="12035" width="12.5703125" style="69" customWidth="1"/>
    <col min="12036" max="12036" width="9.140625" style="69"/>
    <col min="12037" max="12037" width="12.28515625" style="69" customWidth="1"/>
    <col min="12038" max="12038" width="14.85546875" style="69" customWidth="1"/>
    <col min="12039" max="12039" width="12.5703125" style="69" customWidth="1"/>
    <col min="12040" max="12040" width="14.42578125" style="69" customWidth="1"/>
    <col min="12041" max="12041" width="11" style="69" customWidth="1"/>
    <col min="12042" max="12042" width="11.140625" style="69" customWidth="1"/>
    <col min="12043" max="12044" width="11.42578125" style="69" customWidth="1"/>
    <col min="12045" max="12045" width="11.140625" style="69" customWidth="1"/>
    <col min="12046" max="12046" width="13" style="69" customWidth="1"/>
    <col min="12047" max="12277" width="9.140625" style="69"/>
    <col min="12278" max="12278" width="5.28515625" style="69" customWidth="1"/>
    <col min="12279" max="12279" width="37.28515625" style="69" customWidth="1"/>
    <col min="12280" max="12283" width="14.42578125" style="69" customWidth="1"/>
    <col min="12284" max="12284" width="9.85546875" style="69" customWidth="1"/>
    <col min="12285" max="12286" width="16" style="69" customWidth="1"/>
    <col min="12287" max="12287" width="16.5703125" style="69" customWidth="1"/>
    <col min="12288" max="12288" width="12.140625" style="69" customWidth="1"/>
    <col min="12289" max="12289" width="11" style="69" customWidth="1"/>
    <col min="12290" max="12291" width="12.5703125" style="69" customWidth="1"/>
    <col min="12292" max="12292" width="9.140625" style="69"/>
    <col min="12293" max="12293" width="12.28515625" style="69" customWidth="1"/>
    <col min="12294" max="12294" width="14.85546875" style="69" customWidth="1"/>
    <col min="12295" max="12295" width="12.5703125" style="69" customWidth="1"/>
    <col min="12296" max="12296" width="14.42578125" style="69" customWidth="1"/>
    <col min="12297" max="12297" width="11" style="69" customWidth="1"/>
    <col min="12298" max="12298" width="11.140625" style="69" customWidth="1"/>
    <col min="12299" max="12300" width="11.42578125" style="69" customWidth="1"/>
    <col min="12301" max="12301" width="11.140625" style="69" customWidth="1"/>
    <col min="12302" max="12302" width="13" style="69" customWidth="1"/>
    <col min="12303" max="12533" width="9.140625" style="69"/>
    <col min="12534" max="12534" width="5.28515625" style="69" customWidth="1"/>
    <col min="12535" max="12535" width="37.28515625" style="69" customWidth="1"/>
    <col min="12536" max="12539" width="14.42578125" style="69" customWidth="1"/>
    <col min="12540" max="12540" width="9.85546875" style="69" customWidth="1"/>
    <col min="12541" max="12542" width="16" style="69" customWidth="1"/>
    <col min="12543" max="12543" width="16.5703125" style="69" customWidth="1"/>
    <col min="12544" max="12544" width="12.140625" style="69" customWidth="1"/>
    <col min="12545" max="12545" width="11" style="69" customWidth="1"/>
    <col min="12546" max="12547" width="12.5703125" style="69" customWidth="1"/>
    <col min="12548" max="12548" width="9.140625" style="69"/>
    <col min="12549" max="12549" width="12.28515625" style="69" customWidth="1"/>
    <col min="12550" max="12550" width="14.85546875" style="69" customWidth="1"/>
    <col min="12551" max="12551" width="12.5703125" style="69" customWidth="1"/>
    <col min="12552" max="12552" width="14.42578125" style="69" customWidth="1"/>
    <col min="12553" max="12553" width="11" style="69" customWidth="1"/>
    <col min="12554" max="12554" width="11.140625" style="69" customWidth="1"/>
    <col min="12555" max="12556" width="11.42578125" style="69" customWidth="1"/>
    <col min="12557" max="12557" width="11.140625" style="69" customWidth="1"/>
    <col min="12558" max="12558" width="13" style="69" customWidth="1"/>
    <col min="12559" max="12789" width="9.140625" style="69"/>
    <col min="12790" max="12790" width="5.28515625" style="69" customWidth="1"/>
    <col min="12791" max="12791" width="37.28515625" style="69" customWidth="1"/>
    <col min="12792" max="12795" width="14.42578125" style="69" customWidth="1"/>
    <col min="12796" max="12796" width="9.85546875" style="69" customWidth="1"/>
    <col min="12797" max="12798" width="16" style="69" customWidth="1"/>
    <col min="12799" max="12799" width="16.5703125" style="69" customWidth="1"/>
    <col min="12800" max="12800" width="12.140625" style="69" customWidth="1"/>
    <col min="12801" max="12801" width="11" style="69" customWidth="1"/>
    <col min="12802" max="12803" width="12.5703125" style="69" customWidth="1"/>
    <col min="12804" max="12804" width="9.140625" style="69"/>
    <col min="12805" max="12805" width="12.28515625" style="69" customWidth="1"/>
    <col min="12806" max="12806" width="14.85546875" style="69" customWidth="1"/>
    <col min="12807" max="12807" width="12.5703125" style="69" customWidth="1"/>
    <col min="12808" max="12808" width="14.42578125" style="69" customWidth="1"/>
    <col min="12809" max="12809" width="11" style="69" customWidth="1"/>
    <col min="12810" max="12810" width="11.140625" style="69" customWidth="1"/>
    <col min="12811" max="12812" width="11.42578125" style="69" customWidth="1"/>
    <col min="12813" max="12813" width="11.140625" style="69" customWidth="1"/>
    <col min="12814" max="12814" width="13" style="69" customWidth="1"/>
    <col min="12815" max="13045" width="9.140625" style="69"/>
    <col min="13046" max="13046" width="5.28515625" style="69" customWidth="1"/>
    <col min="13047" max="13047" width="37.28515625" style="69" customWidth="1"/>
    <col min="13048" max="13051" width="14.42578125" style="69" customWidth="1"/>
    <col min="13052" max="13052" width="9.85546875" style="69" customWidth="1"/>
    <col min="13053" max="13054" width="16" style="69" customWidth="1"/>
    <col min="13055" max="13055" width="16.5703125" style="69" customWidth="1"/>
    <col min="13056" max="13056" width="12.140625" style="69" customWidth="1"/>
    <col min="13057" max="13057" width="11" style="69" customWidth="1"/>
    <col min="13058" max="13059" width="12.5703125" style="69" customWidth="1"/>
    <col min="13060" max="13060" width="9.140625" style="69"/>
    <col min="13061" max="13061" width="12.28515625" style="69" customWidth="1"/>
    <col min="13062" max="13062" width="14.85546875" style="69" customWidth="1"/>
    <col min="13063" max="13063" width="12.5703125" style="69" customWidth="1"/>
    <col min="13064" max="13064" width="14.42578125" style="69" customWidth="1"/>
    <col min="13065" max="13065" width="11" style="69" customWidth="1"/>
    <col min="13066" max="13066" width="11.140625" style="69" customWidth="1"/>
    <col min="13067" max="13068" width="11.42578125" style="69" customWidth="1"/>
    <col min="13069" max="13069" width="11.140625" style="69" customWidth="1"/>
    <col min="13070" max="13070" width="13" style="69" customWidth="1"/>
    <col min="13071" max="13301" width="9.140625" style="69"/>
    <col min="13302" max="13302" width="5.28515625" style="69" customWidth="1"/>
    <col min="13303" max="13303" width="37.28515625" style="69" customWidth="1"/>
    <col min="13304" max="13307" width="14.42578125" style="69" customWidth="1"/>
    <col min="13308" max="13308" width="9.85546875" style="69" customWidth="1"/>
    <col min="13309" max="13310" width="16" style="69" customWidth="1"/>
    <col min="13311" max="13311" width="16.5703125" style="69" customWidth="1"/>
    <col min="13312" max="13312" width="12.140625" style="69" customWidth="1"/>
    <col min="13313" max="13313" width="11" style="69" customWidth="1"/>
    <col min="13314" max="13315" width="12.5703125" style="69" customWidth="1"/>
    <col min="13316" max="13316" width="9.140625" style="69"/>
    <col min="13317" max="13317" width="12.28515625" style="69" customWidth="1"/>
    <col min="13318" max="13318" width="14.85546875" style="69" customWidth="1"/>
    <col min="13319" max="13319" width="12.5703125" style="69" customWidth="1"/>
    <col min="13320" max="13320" width="14.42578125" style="69" customWidth="1"/>
    <col min="13321" max="13321" width="11" style="69" customWidth="1"/>
    <col min="13322" max="13322" width="11.140625" style="69" customWidth="1"/>
    <col min="13323" max="13324" width="11.42578125" style="69" customWidth="1"/>
    <col min="13325" max="13325" width="11.140625" style="69" customWidth="1"/>
    <col min="13326" max="13326" width="13" style="69" customWidth="1"/>
    <col min="13327" max="13557" width="9.140625" style="69"/>
    <col min="13558" max="13558" width="5.28515625" style="69" customWidth="1"/>
    <col min="13559" max="13559" width="37.28515625" style="69" customWidth="1"/>
    <col min="13560" max="13563" width="14.42578125" style="69" customWidth="1"/>
    <col min="13564" max="13564" width="9.85546875" style="69" customWidth="1"/>
    <col min="13565" max="13566" width="16" style="69" customWidth="1"/>
    <col min="13567" max="13567" width="16.5703125" style="69" customWidth="1"/>
    <col min="13568" max="13568" width="12.140625" style="69" customWidth="1"/>
    <col min="13569" max="13569" width="11" style="69" customWidth="1"/>
    <col min="13570" max="13571" width="12.5703125" style="69" customWidth="1"/>
    <col min="13572" max="13572" width="9.140625" style="69"/>
    <col min="13573" max="13573" width="12.28515625" style="69" customWidth="1"/>
    <col min="13574" max="13574" width="14.85546875" style="69" customWidth="1"/>
    <col min="13575" max="13575" width="12.5703125" style="69" customWidth="1"/>
    <col min="13576" max="13576" width="14.42578125" style="69" customWidth="1"/>
    <col min="13577" max="13577" width="11" style="69" customWidth="1"/>
    <col min="13578" max="13578" width="11.140625" style="69" customWidth="1"/>
    <col min="13579" max="13580" width="11.42578125" style="69" customWidth="1"/>
    <col min="13581" max="13581" width="11.140625" style="69" customWidth="1"/>
    <col min="13582" max="13582" width="13" style="69" customWidth="1"/>
    <col min="13583" max="13813" width="9.140625" style="69"/>
    <col min="13814" max="13814" width="5.28515625" style="69" customWidth="1"/>
    <col min="13815" max="13815" width="37.28515625" style="69" customWidth="1"/>
    <col min="13816" max="13819" width="14.42578125" style="69" customWidth="1"/>
    <col min="13820" max="13820" width="9.85546875" style="69" customWidth="1"/>
    <col min="13821" max="13822" width="16" style="69" customWidth="1"/>
    <col min="13823" max="13823" width="16.5703125" style="69" customWidth="1"/>
    <col min="13824" max="13824" width="12.140625" style="69" customWidth="1"/>
    <col min="13825" max="13825" width="11" style="69" customWidth="1"/>
    <col min="13826" max="13827" width="12.5703125" style="69" customWidth="1"/>
    <col min="13828" max="13828" width="9.140625" style="69"/>
    <col min="13829" max="13829" width="12.28515625" style="69" customWidth="1"/>
    <col min="13830" max="13830" width="14.85546875" style="69" customWidth="1"/>
    <col min="13831" max="13831" width="12.5703125" style="69" customWidth="1"/>
    <col min="13832" max="13832" width="14.42578125" style="69" customWidth="1"/>
    <col min="13833" max="13833" width="11" style="69" customWidth="1"/>
    <col min="13834" max="13834" width="11.140625" style="69" customWidth="1"/>
    <col min="13835" max="13836" width="11.42578125" style="69" customWidth="1"/>
    <col min="13837" max="13837" width="11.140625" style="69" customWidth="1"/>
    <col min="13838" max="13838" width="13" style="69" customWidth="1"/>
    <col min="13839" max="14069" width="9.140625" style="69"/>
    <col min="14070" max="14070" width="5.28515625" style="69" customWidth="1"/>
    <col min="14071" max="14071" width="37.28515625" style="69" customWidth="1"/>
    <col min="14072" max="14075" width="14.42578125" style="69" customWidth="1"/>
    <col min="14076" max="14076" width="9.85546875" style="69" customWidth="1"/>
    <col min="14077" max="14078" width="16" style="69" customWidth="1"/>
    <col min="14079" max="14079" width="16.5703125" style="69" customWidth="1"/>
    <col min="14080" max="14080" width="12.140625" style="69" customWidth="1"/>
    <col min="14081" max="14081" width="11" style="69" customWidth="1"/>
    <col min="14082" max="14083" width="12.5703125" style="69" customWidth="1"/>
    <col min="14084" max="14084" width="9.140625" style="69"/>
    <col min="14085" max="14085" width="12.28515625" style="69" customWidth="1"/>
    <col min="14086" max="14086" width="14.85546875" style="69" customWidth="1"/>
    <col min="14087" max="14087" width="12.5703125" style="69" customWidth="1"/>
    <col min="14088" max="14088" width="14.42578125" style="69" customWidth="1"/>
    <col min="14089" max="14089" width="11" style="69" customWidth="1"/>
    <col min="14090" max="14090" width="11.140625" style="69" customWidth="1"/>
    <col min="14091" max="14092" width="11.42578125" style="69" customWidth="1"/>
    <col min="14093" max="14093" width="11.140625" style="69" customWidth="1"/>
    <col min="14094" max="14094" width="13" style="69" customWidth="1"/>
    <col min="14095" max="14325" width="9.140625" style="69"/>
    <col min="14326" max="14326" width="5.28515625" style="69" customWidth="1"/>
    <col min="14327" max="14327" width="37.28515625" style="69" customWidth="1"/>
    <col min="14328" max="14331" width="14.42578125" style="69" customWidth="1"/>
    <col min="14332" max="14332" width="9.85546875" style="69" customWidth="1"/>
    <col min="14333" max="14334" width="16" style="69" customWidth="1"/>
    <col min="14335" max="14335" width="16.5703125" style="69" customWidth="1"/>
    <col min="14336" max="14336" width="12.140625" style="69" customWidth="1"/>
    <col min="14337" max="14337" width="11" style="69" customWidth="1"/>
    <col min="14338" max="14339" width="12.5703125" style="69" customWidth="1"/>
    <col min="14340" max="14340" width="9.140625" style="69"/>
    <col min="14341" max="14341" width="12.28515625" style="69" customWidth="1"/>
    <col min="14342" max="14342" width="14.85546875" style="69" customWidth="1"/>
    <col min="14343" max="14343" width="12.5703125" style="69" customWidth="1"/>
    <col min="14344" max="14344" width="14.42578125" style="69" customWidth="1"/>
    <col min="14345" max="14345" width="11" style="69" customWidth="1"/>
    <col min="14346" max="14346" width="11.140625" style="69" customWidth="1"/>
    <col min="14347" max="14348" width="11.42578125" style="69" customWidth="1"/>
    <col min="14349" max="14349" width="11.140625" style="69" customWidth="1"/>
    <col min="14350" max="14350" width="13" style="69" customWidth="1"/>
    <col min="14351" max="14581" width="9.140625" style="69"/>
    <col min="14582" max="14582" width="5.28515625" style="69" customWidth="1"/>
    <col min="14583" max="14583" width="37.28515625" style="69" customWidth="1"/>
    <col min="14584" max="14587" width="14.42578125" style="69" customWidth="1"/>
    <col min="14588" max="14588" width="9.85546875" style="69" customWidth="1"/>
    <col min="14589" max="14590" width="16" style="69" customWidth="1"/>
    <col min="14591" max="14591" width="16.5703125" style="69" customWidth="1"/>
    <col min="14592" max="14592" width="12.140625" style="69" customWidth="1"/>
    <col min="14593" max="14593" width="11" style="69" customWidth="1"/>
    <col min="14594" max="14595" width="12.5703125" style="69" customWidth="1"/>
    <col min="14596" max="14596" width="9.140625" style="69"/>
    <col min="14597" max="14597" width="12.28515625" style="69" customWidth="1"/>
    <col min="14598" max="14598" width="14.85546875" style="69" customWidth="1"/>
    <col min="14599" max="14599" width="12.5703125" style="69" customWidth="1"/>
    <col min="14600" max="14600" width="14.42578125" style="69" customWidth="1"/>
    <col min="14601" max="14601" width="11" style="69" customWidth="1"/>
    <col min="14602" max="14602" width="11.140625" style="69" customWidth="1"/>
    <col min="14603" max="14604" width="11.42578125" style="69" customWidth="1"/>
    <col min="14605" max="14605" width="11.140625" style="69" customWidth="1"/>
    <col min="14606" max="14606" width="13" style="69" customWidth="1"/>
    <col min="14607" max="14837" width="9.140625" style="69"/>
    <col min="14838" max="14838" width="5.28515625" style="69" customWidth="1"/>
    <col min="14839" max="14839" width="37.28515625" style="69" customWidth="1"/>
    <col min="14840" max="14843" width="14.42578125" style="69" customWidth="1"/>
    <col min="14844" max="14844" width="9.85546875" style="69" customWidth="1"/>
    <col min="14845" max="14846" width="16" style="69" customWidth="1"/>
    <col min="14847" max="14847" width="16.5703125" style="69" customWidth="1"/>
    <col min="14848" max="14848" width="12.140625" style="69" customWidth="1"/>
    <col min="14849" max="14849" width="11" style="69" customWidth="1"/>
    <col min="14850" max="14851" width="12.5703125" style="69" customWidth="1"/>
    <col min="14852" max="14852" width="9.140625" style="69"/>
    <col min="14853" max="14853" width="12.28515625" style="69" customWidth="1"/>
    <col min="14854" max="14854" width="14.85546875" style="69" customWidth="1"/>
    <col min="14855" max="14855" width="12.5703125" style="69" customWidth="1"/>
    <col min="14856" max="14856" width="14.42578125" style="69" customWidth="1"/>
    <col min="14857" max="14857" width="11" style="69" customWidth="1"/>
    <col min="14858" max="14858" width="11.140625" style="69" customWidth="1"/>
    <col min="14859" max="14860" width="11.42578125" style="69" customWidth="1"/>
    <col min="14861" max="14861" width="11.140625" style="69" customWidth="1"/>
    <col min="14862" max="14862" width="13" style="69" customWidth="1"/>
    <col min="14863" max="15093" width="9.140625" style="69"/>
    <col min="15094" max="15094" width="5.28515625" style="69" customWidth="1"/>
    <col min="15095" max="15095" width="37.28515625" style="69" customWidth="1"/>
    <col min="15096" max="15099" width="14.42578125" style="69" customWidth="1"/>
    <col min="15100" max="15100" width="9.85546875" style="69" customWidth="1"/>
    <col min="15101" max="15102" width="16" style="69" customWidth="1"/>
    <col min="15103" max="15103" width="16.5703125" style="69" customWidth="1"/>
    <col min="15104" max="15104" width="12.140625" style="69" customWidth="1"/>
    <col min="15105" max="15105" width="11" style="69" customWidth="1"/>
    <col min="15106" max="15107" width="12.5703125" style="69" customWidth="1"/>
    <col min="15108" max="15108" width="9.140625" style="69"/>
    <col min="15109" max="15109" width="12.28515625" style="69" customWidth="1"/>
    <col min="15110" max="15110" width="14.85546875" style="69" customWidth="1"/>
    <col min="15111" max="15111" width="12.5703125" style="69" customWidth="1"/>
    <col min="15112" max="15112" width="14.42578125" style="69" customWidth="1"/>
    <col min="15113" max="15113" width="11" style="69" customWidth="1"/>
    <col min="15114" max="15114" width="11.140625" style="69" customWidth="1"/>
    <col min="15115" max="15116" width="11.42578125" style="69" customWidth="1"/>
    <col min="15117" max="15117" width="11.140625" style="69" customWidth="1"/>
    <col min="15118" max="15118" width="13" style="69" customWidth="1"/>
    <col min="15119" max="15349" width="9.140625" style="69"/>
    <col min="15350" max="15350" width="5.28515625" style="69" customWidth="1"/>
    <col min="15351" max="15351" width="37.28515625" style="69" customWidth="1"/>
    <col min="15352" max="15355" width="14.42578125" style="69" customWidth="1"/>
    <col min="15356" max="15356" width="9.85546875" style="69" customWidth="1"/>
    <col min="15357" max="15358" width="16" style="69" customWidth="1"/>
    <col min="15359" max="15359" width="16.5703125" style="69" customWidth="1"/>
    <col min="15360" max="15360" width="12.140625" style="69" customWidth="1"/>
    <col min="15361" max="15361" width="11" style="69" customWidth="1"/>
    <col min="15362" max="15363" width="12.5703125" style="69" customWidth="1"/>
    <col min="15364" max="15364" width="9.140625" style="69"/>
    <col min="15365" max="15365" width="12.28515625" style="69" customWidth="1"/>
    <col min="15366" max="15366" width="14.85546875" style="69" customWidth="1"/>
    <col min="15367" max="15367" width="12.5703125" style="69" customWidth="1"/>
    <col min="15368" max="15368" width="14.42578125" style="69" customWidth="1"/>
    <col min="15369" max="15369" width="11" style="69" customWidth="1"/>
    <col min="15370" max="15370" width="11.140625" style="69" customWidth="1"/>
    <col min="15371" max="15372" width="11.42578125" style="69" customWidth="1"/>
    <col min="15373" max="15373" width="11.140625" style="69" customWidth="1"/>
    <col min="15374" max="15374" width="13" style="69" customWidth="1"/>
    <col min="15375" max="15605" width="9.140625" style="69"/>
    <col min="15606" max="15606" width="5.28515625" style="69" customWidth="1"/>
    <col min="15607" max="15607" width="37.28515625" style="69" customWidth="1"/>
    <col min="15608" max="15611" width="14.42578125" style="69" customWidth="1"/>
    <col min="15612" max="15612" width="9.85546875" style="69" customWidth="1"/>
    <col min="15613" max="15614" width="16" style="69" customWidth="1"/>
    <col min="15615" max="15615" width="16.5703125" style="69" customWidth="1"/>
    <col min="15616" max="15616" width="12.140625" style="69" customWidth="1"/>
    <col min="15617" max="15617" width="11" style="69" customWidth="1"/>
    <col min="15618" max="15619" width="12.5703125" style="69" customWidth="1"/>
    <col min="15620" max="15620" width="9.140625" style="69"/>
    <col min="15621" max="15621" width="12.28515625" style="69" customWidth="1"/>
    <col min="15622" max="15622" width="14.85546875" style="69" customWidth="1"/>
    <col min="15623" max="15623" width="12.5703125" style="69" customWidth="1"/>
    <col min="15624" max="15624" width="14.42578125" style="69" customWidth="1"/>
    <col min="15625" max="15625" width="11" style="69" customWidth="1"/>
    <col min="15626" max="15626" width="11.140625" style="69" customWidth="1"/>
    <col min="15627" max="15628" width="11.42578125" style="69" customWidth="1"/>
    <col min="15629" max="15629" width="11.140625" style="69" customWidth="1"/>
    <col min="15630" max="15630" width="13" style="69" customWidth="1"/>
    <col min="15631" max="15861" width="9.140625" style="69"/>
    <col min="15862" max="15862" width="5.28515625" style="69" customWidth="1"/>
    <col min="15863" max="15863" width="37.28515625" style="69" customWidth="1"/>
    <col min="15864" max="15867" width="14.42578125" style="69" customWidth="1"/>
    <col min="15868" max="15868" width="9.85546875" style="69" customWidth="1"/>
    <col min="15869" max="15870" width="16" style="69" customWidth="1"/>
    <col min="15871" max="15871" width="16.5703125" style="69" customWidth="1"/>
    <col min="15872" max="15872" width="12.140625" style="69" customWidth="1"/>
    <col min="15873" max="15873" width="11" style="69" customWidth="1"/>
    <col min="15874" max="15875" width="12.5703125" style="69" customWidth="1"/>
    <col min="15876" max="15876" width="9.140625" style="69"/>
    <col min="15877" max="15877" width="12.28515625" style="69" customWidth="1"/>
    <col min="15878" max="15878" width="14.85546875" style="69" customWidth="1"/>
    <col min="15879" max="15879" width="12.5703125" style="69" customWidth="1"/>
    <col min="15880" max="15880" width="14.42578125" style="69" customWidth="1"/>
    <col min="15881" max="15881" width="11" style="69" customWidth="1"/>
    <col min="15882" max="15882" width="11.140625" style="69" customWidth="1"/>
    <col min="15883" max="15884" width="11.42578125" style="69" customWidth="1"/>
    <col min="15885" max="15885" width="11.140625" style="69" customWidth="1"/>
    <col min="15886" max="15886" width="13" style="69" customWidth="1"/>
    <col min="15887" max="16117" width="9.140625" style="69"/>
    <col min="16118" max="16118" width="5.28515625" style="69" customWidth="1"/>
    <col min="16119" max="16119" width="37.28515625" style="69" customWidth="1"/>
    <col min="16120" max="16123" width="14.42578125" style="69" customWidth="1"/>
    <col min="16124" max="16124" width="9.85546875" style="69" customWidth="1"/>
    <col min="16125" max="16126" width="16" style="69" customWidth="1"/>
    <col min="16127" max="16127" width="16.5703125" style="69" customWidth="1"/>
    <col min="16128" max="16128" width="12.140625" style="69" customWidth="1"/>
    <col min="16129" max="16129" width="11" style="69" customWidth="1"/>
    <col min="16130" max="16131" width="12.5703125" style="69" customWidth="1"/>
    <col min="16132" max="16132" width="9.140625" style="69"/>
    <col min="16133" max="16133" width="12.28515625" style="69" customWidth="1"/>
    <col min="16134" max="16134" width="14.85546875" style="69" customWidth="1"/>
    <col min="16135" max="16135" width="12.5703125" style="69" customWidth="1"/>
    <col min="16136" max="16136" width="14.42578125" style="69" customWidth="1"/>
    <col min="16137" max="16137" width="11" style="69" customWidth="1"/>
    <col min="16138" max="16138" width="11.140625" style="69" customWidth="1"/>
    <col min="16139" max="16140" width="11.42578125" style="69" customWidth="1"/>
    <col min="16141" max="16141" width="11.140625" style="69" customWidth="1"/>
    <col min="16142" max="16142" width="13" style="69" customWidth="1"/>
    <col min="16143" max="16384" width="9.140625" style="69"/>
  </cols>
  <sheetData>
    <row r="1" spans="1:14" ht="15" customHeight="1" x14ac:dyDescent="0.25">
      <c r="A1" s="667"/>
      <c r="B1" s="667"/>
      <c r="C1" s="667"/>
      <c r="D1" s="667"/>
      <c r="E1" s="668"/>
      <c r="F1" s="668"/>
    </row>
    <row r="2" spans="1:14" ht="15" customHeight="1" x14ac:dyDescent="0.25">
      <c r="A2" s="669" t="s">
        <v>15</v>
      </c>
      <c r="B2" s="669" t="s">
        <v>161</v>
      </c>
      <c r="C2" s="670" t="s">
        <v>170</v>
      </c>
      <c r="D2" s="671" t="s">
        <v>171</v>
      </c>
      <c r="E2" s="80"/>
      <c r="F2" s="672" t="s">
        <v>172</v>
      </c>
      <c r="G2" s="680" t="s">
        <v>175</v>
      </c>
      <c r="H2" s="681"/>
      <c r="I2" s="681"/>
      <c r="J2" s="681"/>
      <c r="K2" s="681"/>
      <c r="L2" s="681"/>
      <c r="M2" s="681"/>
      <c r="N2" s="681"/>
    </row>
    <row r="3" spans="1:14" ht="45" customHeight="1" x14ac:dyDescent="0.25">
      <c r="A3" s="669"/>
      <c r="B3" s="669"/>
      <c r="C3" s="670"/>
      <c r="D3" s="671"/>
      <c r="E3" s="672" t="s">
        <v>173</v>
      </c>
      <c r="F3" s="673"/>
      <c r="G3" s="669" t="s">
        <v>162</v>
      </c>
      <c r="H3" s="669"/>
      <c r="I3" s="669"/>
      <c r="J3" s="669"/>
      <c r="K3" s="669" t="s">
        <v>163</v>
      </c>
      <c r="L3" s="669" t="s">
        <v>164</v>
      </c>
      <c r="M3" s="682" t="s">
        <v>165</v>
      </c>
      <c r="N3" s="682" t="s">
        <v>166</v>
      </c>
    </row>
    <row r="4" spans="1:14" ht="45" customHeight="1" x14ac:dyDescent="0.25">
      <c r="A4" s="669"/>
      <c r="B4" s="669"/>
      <c r="C4" s="670"/>
      <c r="D4" s="671"/>
      <c r="E4" s="673"/>
      <c r="F4" s="673"/>
      <c r="G4" s="669" t="s">
        <v>174</v>
      </c>
      <c r="H4" s="682" t="s">
        <v>167</v>
      </c>
      <c r="I4" s="682" t="s">
        <v>168</v>
      </c>
      <c r="J4" s="669" t="s">
        <v>169</v>
      </c>
      <c r="K4" s="669"/>
      <c r="L4" s="669"/>
      <c r="M4" s="682"/>
      <c r="N4" s="682"/>
    </row>
    <row r="5" spans="1:14" ht="89.25" customHeight="1" x14ac:dyDescent="0.25">
      <c r="A5" s="669"/>
      <c r="B5" s="669"/>
      <c r="C5" s="670"/>
      <c r="D5" s="671"/>
      <c r="E5" s="674"/>
      <c r="F5" s="674"/>
      <c r="G5" s="669"/>
      <c r="H5" s="682"/>
      <c r="I5" s="682"/>
      <c r="J5" s="669"/>
      <c r="K5" s="669"/>
      <c r="L5" s="669"/>
      <c r="M5" s="682"/>
      <c r="N5" s="682"/>
    </row>
    <row r="6" spans="1:14" s="75" customFormat="1" ht="17.25" customHeight="1" x14ac:dyDescent="0.25">
      <c r="A6" s="675">
        <v>1</v>
      </c>
      <c r="B6" s="678"/>
      <c r="C6" s="84"/>
      <c r="D6" s="81">
        <v>1</v>
      </c>
      <c r="E6" s="82">
        <v>14</v>
      </c>
      <c r="F6" s="83">
        <v>1500</v>
      </c>
      <c r="G6" s="72">
        <f>F6/E6*D6*C6</f>
        <v>0</v>
      </c>
      <c r="H6" s="73">
        <v>0.8</v>
      </c>
      <c r="I6" s="73">
        <v>0.8</v>
      </c>
      <c r="J6" s="72">
        <f>G6*2.6</f>
        <v>0</v>
      </c>
      <c r="K6" s="71">
        <v>12</v>
      </c>
      <c r="L6" s="72">
        <f>J6*K6</f>
        <v>0</v>
      </c>
      <c r="M6" s="74">
        <v>0.30199999999999999</v>
      </c>
      <c r="N6" s="72">
        <f>L6*M6</f>
        <v>0</v>
      </c>
    </row>
    <row r="7" spans="1:14" s="75" customFormat="1" ht="17.25" customHeight="1" x14ac:dyDescent="0.25">
      <c r="A7" s="676"/>
      <c r="B7" s="679"/>
      <c r="C7" s="84"/>
      <c r="D7" s="81">
        <v>2</v>
      </c>
      <c r="E7" s="84">
        <v>14</v>
      </c>
      <c r="F7" s="85">
        <f>F6</f>
        <v>1500</v>
      </c>
      <c r="G7" s="72">
        <f t="shared" ref="G7:G18" si="0">F7/E7*D7*C7</f>
        <v>0</v>
      </c>
      <c r="H7" s="76">
        <f>H6</f>
        <v>0.8</v>
      </c>
      <c r="I7" s="76">
        <f>I6</f>
        <v>0.8</v>
      </c>
      <c r="J7" s="72">
        <f t="shared" ref="J7:J19" si="1">G7*2.6</f>
        <v>0</v>
      </c>
      <c r="K7" s="70">
        <f>K6</f>
        <v>12</v>
      </c>
      <c r="L7" s="72">
        <f t="shared" ref="L7:L19" si="2">J7*K7</f>
        <v>0</v>
      </c>
      <c r="M7" s="77">
        <f>M6</f>
        <v>0.30199999999999999</v>
      </c>
      <c r="N7" s="72">
        <f t="shared" ref="N7:N18" si="3">L7*M7</f>
        <v>0</v>
      </c>
    </row>
    <row r="8" spans="1:14" s="75" customFormat="1" ht="17.25" customHeight="1" x14ac:dyDescent="0.25">
      <c r="A8" s="676"/>
      <c r="B8" s="679"/>
      <c r="C8" s="84"/>
      <c r="D8" s="81">
        <v>3</v>
      </c>
      <c r="E8" s="84">
        <v>14</v>
      </c>
      <c r="F8" s="85">
        <f t="shared" ref="F8:F19" si="4">F7</f>
        <v>1500</v>
      </c>
      <c r="G8" s="72">
        <f t="shared" si="0"/>
        <v>0</v>
      </c>
      <c r="H8" s="76">
        <f t="shared" ref="H8:I19" si="5">H7</f>
        <v>0.8</v>
      </c>
      <c r="I8" s="76">
        <f t="shared" si="5"/>
        <v>0.8</v>
      </c>
      <c r="J8" s="72">
        <f t="shared" si="1"/>
        <v>0</v>
      </c>
      <c r="K8" s="70">
        <f t="shared" ref="K8:K19" si="6">K7</f>
        <v>12</v>
      </c>
      <c r="L8" s="72">
        <f t="shared" si="2"/>
        <v>0</v>
      </c>
      <c r="M8" s="77">
        <f t="shared" ref="M8:M19" si="7">M7</f>
        <v>0.30199999999999999</v>
      </c>
      <c r="N8" s="72">
        <f t="shared" si="3"/>
        <v>0</v>
      </c>
    </row>
    <row r="9" spans="1:14" s="75" customFormat="1" ht="17.25" customHeight="1" x14ac:dyDescent="0.25">
      <c r="A9" s="676"/>
      <c r="B9" s="679"/>
      <c r="C9" s="88">
        <v>1</v>
      </c>
      <c r="D9" s="81">
        <v>4</v>
      </c>
      <c r="E9" s="84">
        <v>14</v>
      </c>
      <c r="F9" s="85">
        <f t="shared" si="4"/>
        <v>1500</v>
      </c>
      <c r="G9" s="72">
        <f t="shared" si="0"/>
        <v>428.57142857142856</v>
      </c>
      <c r="H9" s="76">
        <f t="shared" si="5"/>
        <v>0.8</v>
      </c>
      <c r="I9" s="76">
        <v>0.08</v>
      </c>
      <c r="J9" s="72">
        <f>G9*2.6</f>
        <v>1114.2857142857142</v>
      </c>
      <c r="K9" s="70">
        <f t="shared" si="6"/>
        <v>12</v>
      </c>
      <c r="L9" s="72">
        <f t="shared" si="2"/>
        <v>13371.428571428571</v>
      </c>
      <c r="M9" s="77">
        <f t="shared" si="7"/>
        <v>0.30199999999999999</v>
      </c>
      <c r="N9" s="72">
        <f t="shared" si="3"/>
        <v>4038.1714285714284</v>
      </c>
    </row>
    <row r="10" spans="1:14" s="75" customFormat="1" ht="17.25" customHeight="1" x14ac:dyDescent="0.25">
      <c r="A10" s="676"/>
      <c r="B10" s="679"/>
      <c r="C10" s="88">
        <v>2</v>
      </c>
      <c r="D10" s="81">
        <v>5</v>
      </c>
      <c r="E10" s="84">
        <v>14</v>
      </c>
      <c r="F10" s="85">
        <f t="shared" si="4"/>
        <v>1500</v>
      </c>
      <c r="G10" s="72">
        <f t="shared" si="0"/>
        <v>1071.4285714285713</v>
      </c>
      <c r="H10" s="76">
        <f t="shared" si="5"/>
        <v>0.8</v>
      </c>
      <c r="I10" s="76">
        <f t="shared" si="5"/>
        <v>0.08</v>
      </c>
      <c r="J10" s="72">
        <f t="shared" si="1"/>
        <v>2785.7142857142858</v>
      </c>
      <c r="K10" s="70">
        <f t="shared" si="6"/>
        <v>12</v>
      </c>
      <c r="L10" s="72">
        <f t="shared" si="2"/>
        <v>33428.571428571428</v>
      </c>
      <c r="M10" s="77">
        <f t="shared" si="7"/>
        <v>0.30199999999999999</v>
      </c>
      <c r="N10" s="72">
        <f t="shared" si="3"/>
        <v>10095.428571428571</v>
      </c>
    </row>
    <row r="11" spans="1:14" s="75" customFormat="1" ht="17.25" customHeight="1" x14ac:dyDescent="0.25">
      <c r="A11" s="676"/>
      <c r="B11" s="679"/>
      <c r="C11" s="84">
        <v>2</v>
      </c>
      <c r="D11" s="353">
        <v>6</v>
      </c>
      <c r="E11" s="84">
        <v>14</v>
      </c>
      <c r="F11" s="85">
        <f t="shared" si="4"/>
        <v>1500</v>
      </c>
      <c r="G11" s="72">
        <f t="shared" si="0"/>
        <v>1285.7142857142858</v>
      </c>
      <c r="H11" s="76">
        <f t="shared" si="5"/>
        <v>0.8</v>
      </c>
      <c r="I11" s="76">
        <f t="shared" si="5"/>
        <v>0.08</v>
      </c>
      <c r="J11" s="72">
        <f t="shared" si="1"/>
        <v>3342.8571428571431</v>
      </c>
      <c r="K11" s="70">
        <f t="shared" si="6"/>
        <v>12</v>
      </c>
      <c r="L11" s="72">
        <f t="shared" si="2"/>
        <v>40114.285714285717</v>
      </c>
      <c r="M11" s="77">
        <f t="shared" si="7"/>
        <v>0.30199999999999999</v>
      </c>
      <c r="N11" s="72">
        <f t="shared" si="3"/>
        <v>12114.514285714286</v>
      </c>
    </row>
    <row r="12" spans="1:14" s="75" customFormat="1" ht="17.25" customHeight="1" x14ac:dyDescent="0.25">
      <c r="A12" s="676"/>
      <c r="B12" s="679"/>
      <c r="C12" s="84">
        <v>1</v>
      </c>
      <c r="D12" s="86">
        <v>7</v>
      </c>
      <c r="E12" s="84">
        <v>14</v>
      </c>
      <c r="F12" s="85">
        <f t="shared" si="4"/>
        <v>1500</v>
      </c>
      <c r="G12" s="72">
        <f t="shared" si="0"/>
        <v>750</v>
      </c>
      <c r="H12" s="76">
        <f t="shared" si="5"/>
        <v>0.8</v>
      </c>
      <c r="I12" s="76">
        <f t="shared" si="5"/>
        <v>0.08</v>
      </c>
      <c r="J12" s="72">
        <f t="shared" si="1"/>
        <v>1950</v>
      </c>
      <c r="K12" s="70">
        <f t="shared" si="6"/>
        <v>12</v>
      </c>
      <c r="L12" s="72">
        <f t="shared" si="2"/>
        <v>23400</v>
      </c>
      <c r="M12" s="77">
        <f t="shared" si="7"/>
        <v>0.30199999999999999</v>
      </c>
      <c r="N12" s="72">
        <f t="shared" si="3"/>
        <v>7066.8</v>
      </c>
    </row>
    <row r="13" spans="1:14" s="75" customFormat="1" ht="17.25" customHeight="1" x14ac:dyDescent="0.25">
      <c r="A13" s="676"/>
      <c r="B13" s="679"/>
      <c r="C13" s="439">
        <v>2</v>
      </c>
      <c r="D13" s="87">
        <v>8</v>
      </c>
      <c r="E13" s="84">
        <v>14</v>
      </c>
      <c r="F13" s="85">
        <f t="shared" si="4"/>
        <v>1500</v>
      </c>
      <c r="G13" s="72">
        <f t="shared" si="0"/>
        <v>1714.2857142857142</v>
      </c>
      <c r="H13" s="76">
        <f t="shared" si="5"/>
        <v>0.8</v>
      </c>
      <c r="I13" s="76">
        <f t="shared" si="5"/>
        <v>0.08</v>
      </c>
      <c r="J13" s="72">
        <f t="shared" si="1"/>
        <v>4457.1428571428569</v>
      </c>
      <c r="K13" s="70">
        <f t="shared" si="6"/>
        <v>12</v>
      </c>
      <c r="L13" s="72">
        <f t="shared" si="2"/>
        <v>53485.714285714283</v>
      </c>
      <c r="M13" s="77">
        <f t="shared" si="7"/>
        <v>0.30199999999999999</v>
      </c>
      <c r="N13" s="72">
        <f t="shared" si="3"/>
        <v>16152.685714285713</v>
      </c>
    </row>
    <row r="14" spans="1:14" s="75" customFormat="1" ht="17.25" customHeight="1" x14ac:dyDescent="0.25">
      <c r="A14" s="676"/>
      <c r="B14" s="679"/>
      <c r="C14" s="84"/>
      <c r="D14" s="353">
        <v>9</v>
      </c>
      <c r="E14" s="84">
        <v>14</v>
      </c>
      <c r="F14" s="85">
        <f t="shared" si="4"/>
        <v>1500</v>
      </c>
      <c r="G14" s="72">
        <f t="shared" si="0"/>
        <v>0</v>
      </c>
      <c r="H14" s="76">
        <f t="shared" si="5"/>
        <v>0.8</v>
      </c>
      <c r="I14" s="76">
        <f t="shared" si="5"/>
        <v>0.08</v>
      </c>
      <c r="J14" s="72">
        <f t="shared" si="1"/>
        <v>0</v>
      </c>
      <c r="K14" s="70">
        <f t="shared" si="6"/>
        <v>12</v>
      </c>
      <c r="L14" s="72">
        <f t="shared" si="2"/>
        <v>0</v>
      </c>
      <c r="M14" s="77">
        <f t="shared" si="7"/>
        <v>0.30199999999999999</v>
      </c>
      <c r="N14" s="72">
        <f t="shared" si="3"/>
        <v>0</v>
      </c>
    </row>
    <row r="15" spans="1:14" s="75" customFormat="1" ht="17.25" customHeight="1" x14ac:dyDescent="0.25">
      <c r="A15" s="676"/>
      <c r="B15" s="679"/>
      <c r="C15" s="84"/>
      <c r="D15" s="86">
        <v>10</v>
      </c>
      <c r="E15" s="84">
        <v>14</v>
      </c>
      <c r="F15" s="85">
        <f t="shared" si="4"/>
        <v>1500</v>
      </c>
      <c r="G15" s="72">
        <f t="shared" si="0"/>
        <v>0</v>
      </c>
      <c r="H15" s="76">
        <f t="shared" si="5"/>
        <v>0.8</v>
      </c>
      <c r="I15" s="76">
        <f t="shared" si="5"/>
        <v>0.08</v>
      </c>
      <c r="J15" s="72">
        <f t="shared" si="1"/>
        <v>0</v>
      </c>
      <c r="K15" s="70">
        <f t="shared" si="6"/>
        <v>12</v>
      </c>
      <c r="L15" s="72">
        <f t="shared" si="2"/>
        <v>0</v>
      </c>
      <c r="M15" s="77">
        <f t="shared" si="7"/>
        <v>0.30199999999999999</v>
      </c>
      <c r="N15" s="72">
        <f t="shared" si="3"/>
        <v>0</v>
      </c>
    </row>
    <row r="16" spans="1:14" s="75" customFormat="1" ht="17.25" customHeight="1" x14ac:dyDescent="0.25">
      <c r="A16" s="676"/>
      <c r="B16" s="679"/>
      <c r="C16" s="82"/>
      <c r="D16" s="86">
        <v>11</v>
      </c>
      <c r="E16" s="84">
        <v>14</v>
      </c>
      <c r="F16" s="85">
        <f t="shared" si="4"/>
        <v>1500</v>
      </c>
      <c r="G16" s="72">
        <f t="shared" si="0"/>
        <v>0</v>
      </c>
      <c r="H16" s="76">
        <f t="shared" si="5"/>
        <v>0.8</v>
      </c>
      <c r="I16" s="76">
        <f t="shared" si="5"/>
        <v>0.08</v>
      </c>
      <c r="J16" s="72">
        <f t="shared" si="1"/>
        <v>0</v>
      </c>
      <c r="K16" s="70">
        <f t="shared" si="6"/>
        <v>12</v>
      </c>
      <c r="L16" s="72">
        <f t="shared" si="2"/>
        <v>0</v>
      </c>
      <c r="M16" s="77">
        <f t="shared" si="7"/>
        <v>0.30199999999999999</v>
      </c>
      <c r="N16" s="72">
        <f t="shared" si="3"/>
        <v>0</v>
      </c>
    </row>
    <row r="17" spans="1:14" s="75" customFormat="1" ht="17.25" customHeight="1" x14ac:dyDescent="0.25">
      <c r="A17" s="676"/>
      <c r="B17" s="679"/>
      <c r="C17" s="84"/>
      <c r="D17" s="81">
        <v>12</v>
      </c>
      <c r="E17" s="84">
        <v>14</v>
      </c>
      <c r="F17" s="85">
        <f t="shared" si="4"/>
        <v>1500</v>
      </c>
      <c r="G17" s="72">
        <f t="shared" si="0"/>
        <v>0</v>
      </c>
      <c r="H17" s="76">
        <f t="shared" si="5"/>
        <v>0.8</v>
      </c>
      <c r="I17" s="76">
        <f t="shared" si="5"/>
        <v>0.08</v>
      </c>
      <c r="J17" s="72">
        <f t="shared" si="1"/>
        <v>0</v>
      </c>
      <c r="K17" s="70">
        <f t="shared" si="6"/>
        <v>12</v>
      </c>
      <c r="L17" s="72">
        <f t="shared" si="2"/>
        <v>0</v>
      </c>
      <c r="M17" s="77">
        <f t="shared" si="7"/>
        <v>0.30199999999999999</v>
      </c>
      <c r="N17" s="72">
        <f t="shared" si="3"/>
        <v>0</v>
      </c>
    </row>
    <row r="18" spans="1:14" s="75" customFormat="1" ht="17.25" customHeight="1" x14ac:dyDescent="0.25">
      <c r="A18" s="676"/>
      <c r="B18" s="679"/>
      <c r="C18" s="84"/>
      <c r="D18" s="353">
        <v>13</v>
      </c>
      <c r="E18" s="84">
        <v>14</v>
      </c>
      <c r="F18" s="85">
        <f t="shared" si="4"/>
        <v>1500</v>
      </c>
      <c r="G18" s="72">
        <f t="shared" si="0"/>
        <v>0</v>
      </c>
      <c r="H18" s="76">
        <f t="shared" si="5"/>
        <v>0.8</v>
      </c>
      <c r="I18" s="76">
        <f t="shared" si="5"/>
        <v>0.08</v>
      </c>
      <c r="J18" s="72">
        <f t="shared" si="1"/>
        <v>0</v>
      </c>
      <c r="K18" s="70">
        <f t="shared" si="6"/>
        <v>12</v>
      </c>
      <c r="L18" s="72">
        <f t="shared" si="2"/>
        <v>0</v>
      </c>
      <c r="M18" s="77">
        <f t="shared" si="7"/>
        <v>0.30199999999999999</v>
      </c>
      <c r="N18" s="72">
        <f t="shared" si="3"/>
        <v>0</v>
      </c>
    </row>
    <row r="19" spans="1:14" s="75" customFormat="1" ht="17.25" customHeight="1" x14ac:dyDescent="0.25">
      <c r="A19" s="676"/>
      <c r="B19" s="679"/>
      <c r="C19" s="84">
        <v>1</v>
      </c>
      <c r="D19" s="87">
        <v>14</v>
      </c>
      <c r="E19" s="88">
        <v>14</v>
      </c>
      <c r="F19" s="89">
        <f t="shared" si="4"/>
        <v>1500</v>
      </c>
      <c r="G19" s="90">
        <f>F19/E19*D19*C19</f>
        <v>1500</v>
      </c>
      <c r="H19" s="91">
        <f t="shared" si="5"/>
        <v>0.8</v>
      </c>
      <c r="I19" s="91">
        <f t="shared" si="5"/>
        <v>0.08</v>
      </c>
      <c r="J19" s="90">
        <f t="shared" si="1"/>
        <v>3900</v>
      </c>
      <c r="K19" s="79">
        <f t="shared" si="6"/>
        <v>12</v>
      </c>
      <c r="L19" s="90">
        <f t="shared" si="2"/>
        <v>46800</v>
      </c>
      <c r="M19" s="92">
        <f t="shared" si="7"/>
        <v>0.30199999999999999</v>
      </c>
      <c r="N19" s="93">
        <f>L19*M19</f>
        <v>14133.6</v>
      </c>
    </row>
    <row r="20" spans="1:14" s="75" customFormat="1" ht="17.25" customHeight="1" x14ac:dyDescent="0.25">
      <c r="A20" s="677"/>
      <c r="B20" s="94" t="s">
        <v>4</v>
      </c>
      <c r="C20" s="440">
        <f>SUM(C6:C19)</f>
        <v>9</v>
      </c>
      <c r="D20" s="81"/>
      <c r="E20" s="84"/>
      <c r="F20" s="84"/>
      <c r="G20" s="70"/>
      <c r="H20" s="76"/>
      <c r="I20" s="76"/>
      <c r="J20" s="78">
        <f>SUM(J6:J19)</f>
        <v>17550</v>
      </c>
      <c r="K20" s="78"/>
      <c r="L20" s="78">
        <f>SUM(L6:L19)</f>
        <v>210600</v>
      </c>
      <c r="M20" s="78"/>
      <c r="N20" s="78">
        <f>SUM(N6:N19)</f>
        <v>63601.2</v>
      </c>
    </row>
  </sheetData>
  <mergeCells count="19">
    <mergeCell ref="A6:A20"/>
    <mergeCell ref="B6:B19"/>
    <mergeCell ref="J4:J5"/>
    <mergeCell ref="G2:N2"/>
    <mergeCell ref="E3:E5"/>
    <mergeCell ref="G3:J3"/>
    <mergeCell ref="K3:K5"/>
    <mergeCell ref="L3:L5"/>
    <mergeCell ref="M3:M5"/>
    <mergeCell ref="N3:N5"/>
    <mergeCell ref="G4:G5"/>
    <mergeCell ref="H4:H5"/>
    <mergeCell ref="I4:I5"/>
    <mergeCell ref="A1:F1"/>
    <mergeCell ref="A2:A5"/>
    <mergeCell ref="B2:B5"/>
    <mergeCell ref="C2:C5"/>
    <mergeCell ref="D2:D5"/>
    <mergeCell ref="F2:F5"/>
  </mergeCells>
  <pageMargins left="0.19685039370078741" right="0.19685039370078741" top="0.59055118110236227" bottom="0.39370078740157483" header="0.31496062992125984" footer="0.31496062992125984"/>
  <pageSetup paperSize="9" scale="72" fitToHeight="2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31</vt:i4>
      </vt:variant>
    </vt:vector>
  </HeadingPairs>
  <TitlesOfParts>
    <vt:vector size="66" baseType="lpstr">
      <vt:lpstr>тит</vt:lpstr>
      <vt:lpstr>Раздел 1</vt:lpstr>
      <vt:lpstr>Раздел 2</vt:lpstr>
      <vt:lpstr>Раздел 3 (новый) </vt:lpstr>
      <vt:lpstr>Расчеты ГЗ</vt:lpstr>
      <vt:lpstr>ФОТ</vt:lpstr>
      <vt:lpstr>заочная учёба 214-501</vt:lpstr>
      <vt:lpstr>Связь 221</vt:lpstr>
      <vt:lpstr>транспорт услуги 222-500</vt:lpstr>
      <vt:lpstr>Пож сигнализ 225-055 </vt:lpstr>
      <vt:lpstr> услуги по содерж имущ 225-770</vt:lpstr>
      <vt:lpstr>Техобслуживание 225-770 226-046</vt:lpstr>
      <vt:lpstr>прочие услуги 226-046</vt:lpstr>
      <vt:lpstr>медосмотры 226-046</vt:lpstr>
      <vt:lpstr>Повыш квалиф </vt:lpstr>
      <vt:lpstr>Командировочные расходы </vt:lpstr>
      <vt:lpstr>учебники  310-045</vt:lpstr>
      <vt:lpstr>Основ средства 310-914</vt:lpstr>
      <vt:lpstr>медикаменты 341-510</vt:lpstr>
      <vt:lpstr>ГСМ 343-540</vt:lpstr>
      <vt:lpstr>344</vt:lpstr>
      <vt:lpstr>мягкий инв 345-520</vt:lpstr>
      <vt:lpstr>прочие мат запасы 346-550</vt:lpstr>
      <vt:lpstr>сувениры 349-845</vt:lpstr>
      <vt:lpstr>прочие 349-550</vt:lpstr>
      <vt:lpstr>земельный налог</vt:lpstr>
      <vt:lpstr>налог на имущество</vt:lpstr>
      <vt:lpstr>Расчеты (Иные)</vt:lpstr>
      <vt:lpstr>Продукты школьникам</vt:lpstr>
      <vt:lpstr>льготный проезд 212-831</vt:lpstr>
      <vt:lpstr>комунальные услуги</vt:lpstr>
      <vt:lpstr>Выплаты специалистам на селе</vt:lpstr>
      <vt:lpstr>Расчет</vt:lpstr>
      <vt:lpstr>норматив</vt:lpstr>
      <vt:lpstr>классное руководство</vt:lpstr>
      <vt:lpstr>'Раздел 2'!_Par114</vt:lpstr>
      <vt:lpstr>'Раздел 2'!_Par122</vt:lpstr>
      <vt:lpstr>'Раздел 2'!_Par172</vt:lpstr>
      <vt:lpstr>'Раздел 2'!_Par22</vt:lpstr>
      <vt:lpstr>'Раздел 2'!_Par31</vt:lpstr>
      <vt:lpstr>'Раздел 2'!_Par39</vt:lpstr>
      <vt:lpstr>'Раздел 2'!_Par47</vt:lpstr>
      <vt:lpstr>'Раздел 2'!_Par55</vt:lpstr>
      <vt:lpstr>'Раздел 2'!_Par64</vt:lpstr>
      <vt:lpstr>'Раздел 2'!_Par89</vt:lpstr>
      <vt:lpstr>'классное руководство'!Заголовки_для_печати</vt:lpstr>
      <vt:lpstr>Расчет!Заголовки_для_печати</vt:lpstr>
      <vt:lpstr>'344'!Область_печати</vt:lpstr>
      <vt:lpstr>'Выплаты специалистам на селе'!Область_печати</vt:lpstr>
      <vt:lpstr>'заочная учёба 214-501'!Область_печати</vt:lpstr>
      <vt:lpstr>'земельный налог'!Область_печати</vt:lpstr>
      <vt:lpstr>'классное руководство'!Область_печати</vt:lpstr>
      <vt:lpstr>'Командировочные расходы '!Область_печати</vt:lpstr>
      <vt:lpstr>'комунальные услуги'!Область_печати</vt:lpstr>
      <vt:lpstr>норматив!Область_печати</vt:lpstr>
      <vt:lpstr>'Повыш квалиф '!Область_печати</vt:lpstr>
      <vt:lpstr>'Пож сигнализ 225-055 '!Область_печати</vt:lpstr>
      <vt:lpstr>'Продукты школьникам'!Область_печати</vt:lpstr>
      <vt:lpstr>'Раздел 1'!Область_печати</vt:lpstr>
      <vt:lpstr>'Раздел 3 (новый) '!Область_печати</vt:lpstr>
      <vt:lpstr>Расчет!Область_печати</vt:lpstr>
      <vt:lpstr>'Расчеты (Иные)'!Область_печати</vt:lpstr>
      <vt:lpstr>'Расчеты ГЗ'!Область_печати</vt:lpstr>
      <vt:lpstr>'Связь 221'!Область_печати</vt:lpstr>
      <vt:lpstr>'Техобслуживание 225-770 226-046'!Область_печати</vt:lpstr>
      <vt:lpstr>ФОТ!Область_печати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2020-02-13T16:06:32Z</dcterms:modified>
</cp:coreProperties>
</file>